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255" windowWidth="11595" windowHeight="6015"/>
  </bookViews>
  <sheets>
    <sheet name="Hoja1" sheetId="1" r:id="rId1"/>
  </sheets>
  <definedNames>
    <definedName name="_Toc495667258" localSheetId="0">Hoja1!$A$461</definedName>
    <definedName name="_xlnm.Print_Area" localSheetId="0">Hoja1!$A$253:$I$270</definedName>
    <definedName name="_xlnm.Print_Titles" localSheetId="0">Hoja1!$3:$5</definedName>
  </definedNames>
  <calcPr calcId="144525" iterateDelta="1E-4"/>
</workbook>
</file>

<file path=xl/calcChain.xml><?xml version="1.0" encoding="utf-8"?>
<calcChain xmlns="http://schemas.openxmlformats.org/spreadsheetml/2006/main">
  <c r="G816" i="1" l="1"/>
  <c r="F816" i="1"/>
  <c r="E816" i="1"/>
  <c r="H816" i="1" s="1"/>
  <c r="G815" i="1" l="1"/>
  <c r="F815" i="1"/>
  <c r="E815" i="1"/>
  <c r="H815" i="1" s="1"/>
  <c r="G814" i="1" l="1"/>
  <c r="F814" i="1"/>
  <c r="E814" i="1"/>
  <c r="H814" i="1" s="1"/>
  <c r="G813" i="1" l="1"/>
  <c r="F813" i="1"/>
  <c r="E813" i="1"/>
  <c r="H813" i="1" s="1"/>
  <c r="G812" i="1" l="1"/>
  <c r="F812" i="1"/>
  <c r="E812" i="1"/>
  <c r="H812" i="1" s="1"/>
  <c r="H811" i="1" l="1"/>
  <c r="G811" i="1"/>
  <c r="F811" i="1"/>
  <c r="E811" i="1"/>
  <c r="G810" i="1" l="1"/>
  <c r="F810" i="1"/>
  <c r="E810" i="1"/>
  <c r="H810" i="1" s="1"/>
  <c r="H809" i="1" l="1"/>
  <c r="G809" i="1"/>
  <c r="F809" i="1"/>
  <c r="E809" i="1"/>
  <c r="G808" i="1" l="1"/>
  <c r="F808" i="1"/>
  <c r="E808" i="1"/>
  <c r="H808" i="1" s="1"/>
  <c r="H807" i="1"/>
  <c r="G807" i="1"/>
  <c r="F807" i="1"/>
  <c r="E807" i="1"/>
  <c r="G806" i="1" l="1"/>
  <c r="F806" i="1"/>
  <c r="E806" i="1"/>
  <c r="H806" i="1" s="1"/>
  <c r="G805" i="1" l="1"/>
  <c r="F805" i="1"/>
  <c r="E805" i="1"/>
  <c r="H805" i="1" s="1"/>
  <c r="G804" i="1" l="1"/>
  <c r="F804" i="1"/>
  <c r="E804" i="1"/>
  <c r="H804" i="1" s="1"/>
  <c r="G803" i="1" l="1"/>
  <c r="F803" i="1"/>
  <c r="E803" i="1"/>
  <c r="H803" i="1" s="1"/>
  <c r="G802" i="1" l="1"/>
  <c r="F802" i="1"/>
  <c r="E802" i="1"/>
  <c r="H802" i="1" s="1"/>
  <c r="H801" i="1" l="1"/>
  <c r="G801" i="1"/>
  <c r="F801" i="1"/>
  <c r="E801" i="1"/>
  <c r="G800" i="1" l="1"/>
  <c r="F800" i="1"/>
  <c r="E800" i="1"/>
  <c r="H800" i="1" s="1"/>
  <c r="G799" i="1" l="1"/>
  <c r="F799" i="1"/>
  <c r="E799" i="1"/>
  <c r="H799" i="1" s="1"/>
  <c r="G798" i="1" l="1"/>
  <c r="F798" i="1"/>
  <c r="E798" i="1"/>
  <c r="H798" i="1" s="1"/>
  <c r="G797" i="1" l="1"/>
  <c r="F797" i="1"/>
  <c r="E797" i="1"/>
  <c r="H797" i="1" s="1"/>
  <c r="G796" i="1" l="1"/>
  <c r="F796" i="1"/>
  <c r="E796" i="1"/>
  <c r="H796" i="1" s="1"/>
  <c r="G795" i="1" l="1"/>
  <c r="F795" i="1"/>
  <c r="E795" i="1"/>
  <c r="H795" i="1" s="1"/>
  <c r="G794" i="1" l="1"/>
  <c r="F794" i="1"/>
  <c r="E794" i="1"/>
  <c r="H794" i="1" s="1"/>
  <c r="H793" i="1" l="1"/>
  <c r="G793" i="1"/>
  <c r="F793" i="1"/>
  <c r="E793" i="1"/>
  <c r="H792" i="1" l="1"/>
  <c r="G792" i="1"/>
  <c r="F792" i="1"/>
  <c r="E792" i="1"/>
  <c r="H791" i="1"/>
  <c r="G791" i="1"/>
  <c r="F791" i="1"/>
  <c r="E791" i="1"/>
  <c r="G790" i="1" l="1"/>
  <c r="F790" i="1"/>
  <c r="E790" i="1"/>
  <c r="H790" i="1" s="1"/>
  <c r="H789" i="1" l="1"/>
  <c r="G789" i="1"/>
  <c r="F789" i="1"/>
  <c r="E789" i="1"/>
  <c r="G788" i="1" l="1"/>
  <c r="F788" i="1"/>
  <c r="E788" i="1"/>
  <c r="H788" i="1" s="1"/>
  <c r="G787" i="1" l="1"/>
  <c r="F787" i="1"/>
  <c r="E787" i="1"/>
  <c r="H787" i="1" s="1"/>
  <c r="H786" i="1"/>
  <c r="G786" i="1"/>
  <c r="F786" i="1"/>
  <c r="E786" i="1"/>
  <c r="H785" i="1" l="1"/>
  <c r="G785" i="1"/>
  <c r="F785" i="1"/>
  <c r="E785" i="1"/>
  <c r="G784" i="1" l="1"/>
  <c r="F784" i="1"/>
  <c r="E784" i="1"/>
  <c r="H784" i="1" s="1"/>
  <c r="G783" i="1" l="1"/>
  <c r="F783" i="1"/>
  <c r="E783" i="1"/>
  <c r="H783" i="1" s="1"/>
  <c r="H782" i="1" l="1"/>
  <c r="G782" i="1"/>
  <c r="F782" i="1"/>
  <c r="E782" i="1"/>
  <c r="G781" i="1" l="1"/>
  <c r="F781" i="1"/>
  <c r="E781" i="1"/>
  <c r="H781" i="1" s="1"/>
  <c r="G780" i="1" l="1"/>
  <c r="F780" i="1"/>
  <c r="E780" i="1"/>
  <c r="H780" i="1" s="1"/>
  <c r="G779" i="1" l="1"/>
  <c r="F779" i="1"/>
  <c r="E779" i="1"/>
  <c r="H779" i="1" s="1"/>
  <c r="G778" i="1" l="1"/>
  <c r="F778" i="1"/>
  <c r="E778" i="1"/>
  <c r="H778" i="1" s="1"/>
  <c r="G777" i="1" l="1"/>
  <c r="F777" i="1"/>
  <c r="E777" i="1"/>
  <c r="H777" i="1" s="1"/>
  <c r="E776" i="1" l="1"/>
  <c r="F776" i="1"/>
  <c r="G776" i="1"/>
  <c r="H776" i="1"/>
  <c r="H775" i="1" l="1"/>
  <c r="H773" i="1"/>
  <c r="G775" i="1"/>
  <c r="F775" i="1"/>
  <c r="E775" i="1"/>
  <c r="H774" i="1" l="1"/>
  <c r="E773" i="1" l="1"/>
  <c r="F773" i="1"/>
  <c r="G773" i="1"/>
  <c r="E772" i="1" l="1"/>
  <c r="F772" i="1"/>
  <c r="G772" i="1"/>
  <c r="H772" i="1"/>
  <c r="G771" i="1" l="1"/>
  <c r="F771" i="1"/>
  <c r="E771" i="1"/>
  <c r="H771" i="1"/>
  <c r="E769" i="1" l="1"/>
  <c r="F769" i="1"/>
  <c r="G769" i="1"/>
  <c r="H769" i="1"/>
  <c r="E770" i="1"/>
  <c r="F770" i="1"/>
  <c r="G770" i="1"/>
  <c r="H770" i="1"/>
  <c r="E768" i="1" l="1"/>
  <c r="F768" i="1"/>
  <c r="G768" i="1"/>
  <c r="H768" i="1"/>
  <c r="H767" i="1" l="1"/>
  <c r="G767" i="1"/>
  <c r="F767" i="1"/>
  <c r="E767" i="1"/>
  <c r="H766" i="1" l="1"/>
  <c r="E765" i="1" l="1"/>
  <c r="H765" i="1" s="1"/>
  <c r="F765" i="1"/>
  <c r="G765" i="1"/>
  <c r="H764" i="1" l="1"/>
  <c r="E764" i="1"/>
  <c r="F764" i="1"/>
  <c r="G764" i="1"/>
  <c r="H763" i="1" l="1"/>
  <c r="E763" i="1"/>
  <c r="F763" i="1"/>
  <c r="G763" i="1"/>
  <c r="H762" i="1" l="1"/>
  <c r="E762" i="1"/>
  <c r="F762" i="1"/>
  <c r="G762" i="1"/>
  <c r="H761" i="1" l="1"/>
  <c r="E761" i="1"/>
  <c r="F761" i="1"/>
  <c r="G761" i="1"/>
  <c r="E760" i="1" l="1"/>
  <c r="H760" i="1" s="1"/>
  <c r="F760" i="1"/>
  <c r="G760" i="1"/>
  <c r="H759" i="1" l="1"/>
  <c r="E759" i="1"/>
  <c r="F759" i="1"/>
  <c r="G759" i="1"/>
  <c r="H758" i="1" l="1"/>
  <c r="E758" i="1"/>
  <c r="F758" i="1"/>
  <c r="G758" i="1"/>
  <c r="H757" i="1" l="1"/>
  <c r="E757" i="1"/>
  <c r="F757" i="1"/>
  <c r="G757" i="1"/>
  <c r="H756" i="1" l="1"/>
  <c r="E756" i="1"/>
  <c r="F756" i="1"/>
  <c r="G756" i="1"/>
  <c r="H755" i="1" l="1"/>
  <c r="E755" i="1"/>
  <c r="F755" i="1"/>
  <c r="G755" i="1"/>
  <c r="H754" i="1" l="1"/>
  <c r="G754" i="1"/>
  <c r="E754" i="1"/>
  <c r="F754" i="1"/>
  <c r="H753" i="1" l="1"/>
  <c r="E753" i="1"/>
  <c r="F753" i="1"/>
  <c r="G753" i="1"/>
  <c r="H752" i="1" l="1"/>
  <c r="H751" i="1"/>
  <c r="E752" i="1"/>
  <c r="F752" i="1"/>
  <c r="G752" i="1"/>
  <c r="E751" i="1"/>
  <c r="F751" i="1"/>
  <c r="G751" i="1"/>
  <c r="E750" i="1" l="1"/>
  <c r="F750" i="1"/>
  <c r="G750" i="1"/>
  <c r="H750" i="1"/>
  <c r="E736" i="1" l="1"/>
  <c r="F736" i="1"/>
  <c r="G736" i="1"/>
  <c r="H736" i="1"/>
  <c r="E737" i="1"/>
  <c r="H737" i="1" s="1"/>
  <c r="F737" i="1"/>
  <c r="G737" i="1"/>
  <c r="E738" i="1"/>
  <c r="H738" i="1" s="1"/>
  <c r="F738" i="1"/>
  <c r="G738" i="1"/>
  <c r="E739" i="1"/>
  <c r="F739" i="1"/>
  <c r="G739" i="1"/>
  <c r="H739" i="1"/>
  <c r="E740" i="1"/>
  <c r="H740" i="1" s="1"/>
  <c r="F740" i="1"/>
  <c r="G740" i="1"/>
  <c r="H749" i="1" l="1"/>
  <c r="E749" i="1"/>
  <c r="F749" i="1"/>
  <c r="G749" i="1"/>
  <c r="H748" i="1" l="1"/>
  <c r="E748" i="1"/>
  <c r="F748" i="1"/>
  <c r="G748" i="1"/>
  <c r="H747" i="1" l="1"/>
  <c r="E747" i="1"/>
  <c r="F747" i="1"/>
  <c r="G747" i="1"/>
  <c r="H746" i="1" l="1"/>
  <c r="E746" i="1"/>
  <c r="F746" i="1"/>
  <c r="G746" i="1"/>
  <c r="H745" i="1" l="1"/>
  <c r="F745" i="1"/>
  <c r="G745" i="1"/>
  <c r="H744" i="1" l="1"/>
  <c r="E744" i="1"/>
  <c r="F744" i="1"/>
  <c r="G744" i="1"/>
  <c r="H743" i="1" l="1"/>
  <c r="E743" i="1"/>
  <c r="F743" i="1"/>
  <c r="G743" i="1"/>
  <c r="H742" i="1" l="1"/>
  <c r="E742" i="1"/>
  <c r="F742" i="1"/>
  <c r="G742" i="1"/>
  <c r="H741" i="1" l="1"/>
  <c r="E741" i="1"/>
  <c r="F741" i="1"/>
  <c r="G741" i="1"/>
  <c r="H735" i="1" l="1"/>
  <c r="E735" i="1"/>
  <c r="F735" i="1"/>
  <c r="G735" i="1"/>
  <c r="H734" i="1" l="1"/>
  <c r="G734" i="1"/>
  <c r="E734" i="1"/>
  <c r="F734" i="1"/>
  <c r="H733" i="1" l="1"/>
  <c r="G733" i="1"/>
  <c r="E733" i="1"/>
  <c r="F733" i="1"/>
  <c r="H732" i="1" l="1"/>
  <c r="G732" i="1"/>
  <c r="F732" i="1"/>
  <c r="E732" i="1"/>
  <c r="H731" i="1" l="1"/>
  <c r="G731" i="1"/>
  <c r="E731" i="1"/>
  <c r="F731" i="1"/>
  <c r="H730" i="1" l="1"/>
  <c r="G730" i="1"/>
  <c r="E730" i="1"/>
  <c r="F730" i="1"/>
  <c r="H729" i="1" l="1"/>
  <c r="G729" i="1"/>
  <c r="F729" i="1"/>
  <c r="E729" i="1"/>
  <c r="H728" i="1" l="1"/>
  <c r="G728" i="1"/>
  <c r="F728" i="1"/>
  <c r="E728" i="1"/>
  <c r="H727" i="1" l="1"/>
  <c r="G727" i="1"/>
  <c r="F727" i="1"/>
  <c r="E727" i="1"/>
  <c r="H726" i="1" l="1"/>
  <c r="G726" i="1"/>
  <c r="F726" i="1"/>
  <c r="E726" i="1"/>
  <c r="H725" i="1" l="1"/>
  <c r="G725" i="1"/>
  <c r="F725" i="1"/>
  <c r="E725" i="1"/>
  <c r="H724" i="1" l="1"/>
  <c r="G724" i="1"/>
  <c r="F724" i="1"/>
  <c r="E724" i="1"/>
  <c r="H723" i="1" l="1"/>
  <c r="G723" i="1"/>
  <c r="F723" i="1"/>
  <c r="E723" i="1"/>
  <c r="H722" i="1"/>
  <c r="G722" i="1"/>
  <c r="F722" i="1"/>
  <c r="E722" i="1"/>
  <c r="H721" i="1" l="1"/>
  <c r="G721" i="1"/>
  <c r="F721" i="1"/>
  <c r="E721" i="1"/>
  <c r="H720" i="1" l="1"/>
  <c r="E720" i="1"/>
  <c r="F720" i="1"/>
  <c r="G720" i="1"/>
  <c r="H719" i="1" l="1"/>
  <c r="E719" i="1"/>
  <c r="F719" i="1"/>
  <c r="G719" i="1"/>
  <c r="H718" i="1" l="1"/>
  <c r="E718" i="1"/>
  <c r="F718" i="1"/>
  <c r="G718" i="1"/>
  <c r="H713" i="1" l="1"/>
  <c r="G713" i="1"/>
  <c r="F713" i="1"/>
  <c r="E713" i="1"/>
  <c r="H716" i="1"/>
  <c r="H715" i="1"/>
  <c r="H717" i="1" l="1"/>
  <c r="G717" i="1"/>
  <c r="F717" i="1"/>
  <c r="E717" i="1"/>
  <c r="G716" i="1"/>
  <c r="F716" i="1"/>
  <c r="E716" i="1"/>
  <c r="G715" i="1"/>
  <c r="F715" i="1"/>
  <c r="E715" i="1"/>
  <c r="H714" i="1"/>
  <c r="G714" i="1"/>
  <c r="F714" i="1"/>
  <c r="E714" i="1"/>
  <c r="H712" i="1" l="1"/>
  <c r="G712" i="1"/>
  <c r="F712" i="1"/>
  <c r="E712" i="1"/>
  <c r="H711" i="1" l="1"/>
  <c r="E711" i="1"/>
  <c r="F711" i="1"/>
  <c r="G711" i="1"/>
  <c r="H710" i="1" l="1"/>
  <c r="G710" i="1"/>
  <c r="F710" i="1"/>
  <c r="E710" i="1"/>
  <c r="H709" i="1" l="1"/>
  <c r="G709" i="1"/>
  <c r="F709" i="1"/>
  <c r="E709" i="1"/>
  <c r="H708" i="1" l="1"/>
  <c r="E708" i="1"/>
  <c r="F708" i="1"/>
  <c r="G708" i="1"/>
  <c r="H707" i="1" l="1"/>
  <c r="G707" i="1"/>
  <c r="F707" i="1"/>
  <c r="E707" i="1"/>
  <c r="H706" i="1" l="1"/>
  <c r="G706" i="1"/>
  <c r="F706" i="1"/>
  <c r="E706" i="1"/>
  <c r="H704" i="1" l="1"/>
  <c r="H705" i="1"/>
  <c r="E704" i="1"/>
  <c r="F704" i="1"/>
  <c r="G704" i="1"/>
  <c r="E705" i="1"/>
  <c r="F705" i="1"/>
  <c r="G705" i="1"/>
  <c r="H703" i="1" l="1"/>
  <c r="G703" i="1"/>
  <c r="F703" i="1"/>
  <c r="E703" i="1"/>
  <c r="H702" i="1" l="1"/>
  <c r="G702" i="1"/>
  <c r="F702" i="1"/>
  <c r="E702" i="1"/>
  <c r="H701" i="1" l="1"/>
  <c r="E701" i="1"/>
  <c r="F701" i="1"/>
  <c r="G701" i="1"/>
  <c r="H700" i="1" l="1"/>
  <c r="G700" i="1"/>
  <c r="F700" i="1"/>
  <c r="E700" i="1"/>
  <c r="H699" i="1" l="1"/>
  <c r="G699" i="1"/>
  <c r="F699" i="1"/>
  <c r="E699" i="1"/>
  <c r="H698" i="1" l="1"/>
  <c r="G698" i="1"/>
  <c r="F698" i="1"/>
  <c r="E698" i="1"/>
  <c r="H696" i="1" l="1"/>
  <c r="H697" i="1"/>
  <c r="G697" i="1"/>
  <c r="F697" i="1"/>
  <c r="E697" i="1"/>
  <c r="G696" i="1"/>
  <c r="F696" i="1"/>
  <c r="E696" i="1"/>
  <c r="H695" i="1" l="1"/>
  <c r="G695" i="1"/>
  <c r="F695" i="1"/>
  <c r="E695" i="1"/>
  <c r="H694" i="1" l="1"/>
  <c r="G694" i="1" l="1"/>
  <c r="F694" i="1"/>
  <c r="E694" i="1"/>
  <c r="H693" i="1" l="1"/>
  <c r="G693" i="1"/>
  <c r="F693" i="1"/>
  <c r="E693" i="1"/>
  <c r="H692" i="1" l="1"/>
  <c r="G692" i="1"/>
  <c r="F692" i="1"/>
  <c r="E692" i="1"/>
  <c r="H691" i="1" l="1"/>
  <c r="G691" i="1"/>
  <c r="F691" i="1"/>
  <c r="E691" i="1"/>
  <c r="H690" i="1" l="1"/>
  <c r="G690" i="1"/>
  <c r="F690" i="1"/>
  <c r="E690" i="1"/>
  <c r="G687" i="1" l="1"/>
  <c r="H689" i="1"/>
  <c r="G689" i="1"/>
  <c r="G688" i="1"/>
  <c r="F689" i="1"/>
  <c r="E689" i="1"/>
  <c r="H688" i="1" l="1"/>
  <c r="E688" i="1"/>
  <c r="F688" i="1"/>
  <c r="H687" i="1" l="1"/>
  <c r="F687" i="1"/>
  <c r="E687" i="1"/>
  <c r="H686" i="1" l="1"/>
  <c r="G686" i="1"/>
  <c r="F686" i="1"/>
  <c r="E686" i="1"/>
  <c r="H684" i="1" l="1"/>
  <c r="H685" i="1"/>
  <c r="G685" i="1"/>
  <c r="F685" i="1"/>
  <c r="E685" i="1"/>
  <c r="G684" i="1"/>
  <c r="F684" i="1"/>
  <c r="E684" i="1"/>
  <c r="H683" i="1" l="1"/>
  <c r="G683" i="1"/>
  <c r="F683" i="1"/>
  <c r="E683" i="1"/>
  <c r="H682" i="1" l="1"/>
  <c r="G682" i="1"/>
  <c r="F682" i="1"/>
  <c r="E682" i="1"/>
  <c r="H680" i="1" l="1"/>
  <c r="H681" i="1"/>
  <c r="G681" i="1"/>
  <c r="F681" i="1"/>
  <c r="E681" i="1"/>
  <c r="G680" i="1"/>
  <c r="F680" i="1"/>
  <c r="E680" i="1"/>
  <c r="H679" i="1" l="1"/>
  <c r="G679" i="1" l="1"/>
  <c r="F679" i="1"/>
  <c r="E679" i="1"/>
  <c r="H677" i="1" l="1"/>
  <c r="H678" i="1"/>
  <c r="G678" i="1"/>
  <c r="F678" i="1"/>
  <c r="E678" i="1"/>
  <c r="G677" i="1"/>
  <c r="F677" i="1"/>
  <c r="E677" i="1"/>
  <c r="H676" i="1" l="1"/>
  <c r="G676" i="1"/>
  <c r="F676" i="1"/>
  <c r="E676" i="1"/>
  <c r="H675" i="1" l="1"/>
  <c r="G675" i="1"/>
  <c r="F675" i="1"/>
  <c r="E675" i="1"/>
  <c r="H674" i="1" l="1"/>
  <c r="G674" i="1"/>
  <c r="F674" i="1"/>
  <c r="E674" i="1"/>
  <c r="H672" i="1" l="1"/>
  <c r="H673" i="1"/>
  <c r="G673" i="1"/>
  <c r="F673" i="1"/>
  <c r="E673" i="1"/>
  <c r="G672" i="1"/>
  <c r="F672" i="1"/>
  <c r="E672" i="1"/>
  <c r="H671" i="1" l="1"/>
  <c r="G671" i="1"/>
  <c r="F671" i="1"/>
  <c r="E671" i="1"/>
  <c r="G670" i="1" l="1"/>
  <c r="F670" i="1"/>
  <c r="E670" i="1"/>
  <c r="H670" i="1" s="1"/>
  <c r="H669" i="1" l="1"/>
  <c r="G669" i="1"/>
  <c r="F669" i="1"/>
  <c r="E669" i="1"/>
  <c r="H668" i="1" l="1"/>
  <c r="G668" i="1"/>
  <c r="F668" i="1"/>
  <c r="E668" i="1"/>
  <c r="H667" i="1" l="1"/>
  <c r="G667" i="1"/>
  <c r="F667" i="1"/>
  <c r="E667" i="1"/>
  <c r="H666" i="1" l="1"/>
  <c r="G666" i="1"/>
  <c r="F666" i="1"/>
  <c r="E666" i="1"/>
  <c r="H665" i="1"/>
  <c r="G665" i="1" l="1"/>
  <c r="F665" i="1"/>
  <c r="E665" i="1"/>
  <c r="E664" i="1"/>
  <c r="H664" i="1" s="1"/>
  <c r="F664" i="1"/>
  <c r="G664" i="1"/>
  <c r="H663" i="1" l="1"/>
  <c r="G663" i="1"/>
  <c r="F663" i="1"/>
  <c r="E663" i="1"/>
  <c r="H662" i="1"/>
  <c r="G662" i="1"/>
  <c r="F662" i="1"/>
  <c r="E662" i="1"/>
  <c r="H661" i="1" l="1"/>
  <c r="G661" i="1"/>
  <c r="F661" i="1"/>
  <c r="E661" i="1"/>
  <c r="H660" i="1" l="1"/>
  <c r="G660" i="1"/>
  <c r="F660" i="1"/>
  <c r="E660" i="1"/>
  <c r="H659" i="1" l="1"/>
  <c r="G659" i="1"/>
  <c r="F659" i="1"/>
  <c r="E659" i="1"/>
  <c r="H658" i="1" l="1"/>
  <c r="G658" i="1" l="1"/>
  <c r="F658" i="1"/>
  <c r="E658" i="1"/>
  <c r="H657" i="1" l="1"/>
  <c r="G657" i="1"/>
  <c r="E657" i="1"/>
  <c r="F657" i="1"/>
  <c r="H656" i="1" l="1"/>
  <c r="G656" i="1"/>
  <c r="F656" i="1"/>
  <c r="E656" i="1"/>
  <c r="H655" i="1" l="1"/>
  <c r="G655" i="1"/>
  <c r="F655" i="1"/>
  <c r="E655" i="1"/>
  <c r="H654" i="1" l="1"/>
  <c r="G654" i="1"/>
  <c r="E654" i="1"/>
  <c r="F654" i="1" l="1"/>
  <c r="H653" i="1"/>
  <c r="G653" i="1"/>
  <c r="F653" i="1"/>
  <c r="E653" i="1"/>
  <c r="H652" i="1"/>
  <c r="G652" i="1"/>
  <c r="F652" i="1"/>
  <c r="E652" i="1"/>
  <c r="H651" i="1"/>
  <c r="G651" i="1"/>
  <c r="F651" i="1"/>
  <c r="E651" i="1"/>
  <c r="H650" i="1"/>
  <c r="G650" i="1"/>
  <c r="F650" i="1"/>
  <c r="E650" i="1"/>
  <c r="H649" i="1"/>
  <c r="G649" i="1"/>
  <c r="F649" i="1"/>
  <c r="E649" i="1"/>
  <c r="H648" i="1"/>
  <c r="G648" i="1"/>
  <c r="F648" i="1"/>
  <c r="E648" i="1"/>
  <c r="H647" i="1"/>
  <c r="G647" i="1"/>
  <c r="F647" i="1"/>
  <c r="E647" i="1"/>
  <c r="H646" i="1"/>
  <c r="G646" i="1"/>
  <c r="F646" i="1"/>
  <c r="E646" i="1"/>
  <c r="G645" i="1"/>
  <c r="F645" i="1"/>
  <c r="E645" i="1"/>
  <c r="H645" i="1"/>
  <c r="H644" i="1"/>
  <c r="G644" i="1"/>
  <c r="F644" i="1"/>
  <c r="E644" i="1"/>
  <c r="H643" i="1"/>
  <c r="G643" i="1"/>
  <c r="G642" i="1"/>
  <c r="E643" i="1"/>
  <c r="H642" i="1"/>
  <c r="E642" i="1"/>
  <c r="F643" i="1"/>
  <c r="F642" i="1"/>
  <c r="H641" i="1"/>
  <c r="G641" i="1"/>
  <c r="F641" i="1"/>
  <c r="E641" i="1"/>
  <c r="H640" i="1"/>
  <c r="G640" i="1"/>
  <c r="F640" i="1"/>
  <c r="E640" i="1"/>
  <c r="H639" i="1"/>
  <c r="F639" i="1"/>
  <c r="G639" i="1"/>
  <c r="E639" i="1"/>
  <c r="H638" i="1"/>
  <c r="G638" i="1"/>
  <c r="F638" i="1"/>
  <c r="E638" i="1"/>
  <c r="H637" i="1"/>
  <c r="G637" i="1"/>
  <c r="F637" i="1"/>
  <c r="E637" i="1"/>
  <c r="H636" i="1"/>
  <c r="G636" i="1"/>
  <c r="G635" i="1"/>
  <c r="E636" i="1"/>
  <c r="E635" i="1"/>
  <c r="F636" i="1"/>
  <c r="F635" i="1"/>
  <c r="H635" i="1"/>
  <c r="H634" i="1"/>
  <c r="G634" i="1"/>
  <c r="F634" i="1"/>
  <c r="E634" i="1"/>
  <c r="H633" i="1"/>
  <c r="G633" i="1"/>
  <c r="E633" i="1"/>
  <c r="F633" i="1"/>
  <c r="H632" i="1"/>
  <c r="G632" i="1"/>
  <c r="E632" i="1"/>
  <c r="F632" i="1"/>
  <c r="H631" i="1"/>
  <c r="G631" i="1"/>
  <c r="F631" i="1"/>
  <c r="E631" i="1"/>
  <c r="H629" i="1"/>
  <c r="H630" i="1"/>
  <c r="G630" i="1"/>
  <c r="F630" i="1"/>
  <c r="E630" i="1"/>
  <c r="G629" i="1"/>
  <c r="F629" i="1"/>
  <c r="E629" i="1"/>
  <c r="H628" i="1"/>
  <c r="G628" i="1"/>
  <c r="F628" i="1"/>
  <c r="E628" i="1"/>
  <c r="H627" i="1"/>
  <c r="E627" i="1"/>
  <c r="E626" i="1"/>
  <c r="G627" i="1"/>
  <c r="F627" i="1"/>
  <c r="H626" i="1"/>
  <c r="G626" i="1"/>
  <c r="F626" i="1"/>
  <c r="H625" i="1"/>
  <c r="G625" i="1"/>
  <c r="F625" i="1"/>
  <c r="E625" i="1"/>
  <c r="H624" i="1"/>
  <c r="G624" i="1"/>
  <c r="F624" i="1"/>
  <c r="E624" i="1"/>
  <c r="H623" i="1"/>
  <c r="G623" i="1"/>
  <c r="F623" i="1"/>
  <c r="E623" i="1"/>
  <c r="H621" i="1"/>
  <c r="H620" i="1"/>
  <c r="G620" i="1"/>
  <c r="E620" i="1"/>
  <c r="G621" i="1"/>
  <c r="H622" i="1"/>
  <c r="G622" i="1"/>
  <c r="F622" i="1"/>
  <c r="E622" i="1"/>
  <c r="E621" i="1"/>
  <c r="E588" i="1"/>
  <c r="H588" i="1"/>
  <c r="G588" i="1"/>
  <c r="E587" i="1"/>
  <c r="H587" i="1"/>
  <c r="G587" i="1"/>
  <c r="E586" i="1"/>
  <c r="H586" i="1"/>
  <c r="G586" i="1"/>
  <c r="E585" i="1"/>
  <c r="H585" i="1"/>
  <c r="G585" i="1"/>
  <c r="E584" i="1"/>
  <c r="H584" i="1"/>
  <c r="G584" i="1"/>
  <c r="E583" i="1"/>
  <c r="H583" i="1"/>
  <c r="G583" i="1"/>
  <c r="E582" i="1"/>
  <c r="H582" i="1"/>
  <c r="G582" i="1"/>
  <c r="E581" i="1"/>
  <c r="H581" i="1"/>
  <c r="G581" i="1"/>
  <c r="E580" i="1"/>
  <c r="H580" i="1"/>
  <c r="G580" i="1"/>
  <c r="E579" i="1"/>
  <c r="H579" i="1"/>
  <c r="G579" i="1"/>
  <c r="E578" i="1"/>
  <c r="H578" i="1"/>
  <c r="G578" i="1"/>
  <c r="G577" i="1"/>
  <c r="E577" i="1"/>
  <c r="H577" i="1"/>
  <c r="G576" i="1"/>
  <c r="E576" i="1"/>
  <c r="H576" i="1"/>
  <c r="E575" i="1"/>
  <c r="H575" i="1"/>
  <c r="G575" i="1"/>
  <c r="G574" i="1"/>
  <c r="E574" i="1"/>
  <c r="H574" i="1"/>
  <c r="E573" i="1"/>
  <c r="H573" i="1"/>
  <c r="G573" i="1"/>
  <c r="G572" i="1"/>
  <c r="E572" i="1"/>
  <c r="H572" i="1"/>
  <c r="E571" i="1"/>
  <c r="H571" i="1"/>
  <c r="G571" i="1"/>
  <c r="E570" i="1"/>
  <c r="H570" i="1"/>
  <c r="G570" i="1"/>
  <c r="E569" i="1"/>
  <c r="H569" i="1"/>
  <c r="G569" i="1"/>
  <c r="E568" i="1"/>
  <c r="H568" i="1"/>
  <c r="G568" i="1"/>
  <c r="E567" i="1"/>
  <c r="H567" i="1"/>
  <c r="G567" i="1"/>
  <c r="E566" i="1"/>
  <c r="H566" i="1"/>
  <c r="G566" i="1"/>
  <c r="G565" i="1"/>
  <c r="E565" i="1"/>
  <c r="H565" i="1"/>
  <c r="G564" i="1"/>
  <c r="E564" i="1"/>
  <c r="H564" i="1"/>
  <c r="G563" i="1"/>
  <c r="E563" i="1"/>
  <c r="H563" i="1"/>
  <c r="G562" i="1"/>
  <c r="E562" i="1"/>
  <c r="H562" i="1"/>
  <c r="E561" i="1"/>
  <c r="H561" i="1"/>
  <c r="G561" i="1"/>
  <c r="E560" i="1"/>
  <c r="H560" i="1"/>
  <c r="G560" i="1"/>
  <c r="E559" i="1"/>
  <c r="H559" i="1"/>
  <c r="G559" i="1"/>
  <c r="E558" i="1"/>
  <c r="H558" i="1"/>
  <c r="G558" i="1"/>
  <c r="E557" i="1"/>
  <c r="H557" i="1"/>
  <c r="G557" i="1"/>
  <c r="G556" i="1"/>
  <c r="E556" i="1"/>
  <c r="H556" i="1"/>
  <c r="G555" i="1"/>
  <c r="E555" i="1"/>
  <c r="H555" i="1"/>
  <c r="E554" i="1"/>
  <c r="H554" i="1"/>
  <c r="G554" i="1"/>
  <c r="G553" i="1"/>
  <c r="E553" i="1"/>
  <c r="H553" i="1"/>
  <c r="E552" i="1"/>
  <c r="H552" i="1"/>
  <c r="G552" i="1"/>
  <c r="F552" i="1"/>
  <c r="E551" i="1"/>
  <c r="H551" i="1"/>
  <c r="G551" i="1"/>
  <c r="F551" i="1"/>
  <c r="G550" i="1"/>
  <c r="F550" i="1"/>
  <c r="E550" i="1"/>
  <c r="H550" i="1"/>
  <c r="E549" i="1"/>
  <c r="H549" i="1"/>
  <c r="G549" i="1"/>
  <c r="F549" i="1"/>
  <c r="E548" i="1"/>
  <c r="H548" i="1"/>
  <c r="G548" i="1"/>
  <c r="F548" i="1"/>
  <c r="E547" i="1"/>
  <c r="H547" i="1"/>
  <c r="F547" i="1"/>
  <c r="G547" i="1"/>
  <c r="G546" i="1"/>
  <c r="F546" i="1"/>
  <c r="E546" i="1"/>
  <c r="H546" i="1"/>
  <c r="E545" i="1"/>
  <c r="H545" i="1"/>
  <c r="F545" i="1"/>
  <c r="G545" i="1"/>
  <c r="E544" i="1"/>
  <c r="H544" i="1"/>
  <c r="G544" i="1"/>
  <c r="F544" i="1"/>
  <c r="E543" i="1"/>
  <c r="H543" i="1"/>
  <c r="G543" i="1"/>
  <c r="F543" i="1"/>
  <c r="G542" i="1"/>
  <c r="F542" i="1"/>
  <c r="E542" i="1"/>
  <c r="H542" i="1"/>
  <c r="E541" i="1"/>
  <c r="H541" i="1"/>
  <c r="F541" i="1"/>
  <c r="G541" i="1"/>
  <c r="E540" i="1"/>
  <c r="H540" i="1"/>
  <c r="G540" i="1"/>
  <c r="F540" i="1"/>
  <c r="G539" i="1"/>
  <c r="F539" i="1"/>
  <c r="E539" i="1"/>
  <c r="H539" i="1"/>
  <c r="E538" i="1"/>
  <c r="H538" i="1"/>
  <c r="G538" i="1"/>
  <c r="F538" i="1"/>
  <c r="E537" i="1"/>
  <c r="H537" i="1"/>
  <c r="F537" i="1"/>
  <c r="G537" i="1"/>
  <c r="G536" i="1"/>
  <c r="F536" i="1"/>
  <c r="E536" i="1"/>
  <c r="H536" i="1"/>
  <c r="E535" i="1"/>
  <c r="H535" i="1"/>
  <c r="G535" i="1"/>
  <c r="F535" i="1"/>
  <c r="E534" i="1"/>
  <c r="H534" i="1"/>
  <c r="G534" i="1"/>
  <c r="F534" i="1"/>
  <c r="G533" i="1"/>
  <c r="F533" i="1"/>
  <c r="E533" i="1"/>
  <c r="H533" i="1"/>
  <c r="E532" i="1"/>
  <c r="H532" i="1"/>
  <c r="F532" i="1"/>
  <c r="G532" i="1"/>
  <c r="E531" i="1"/>
  <c r="H531" i="1"/>
  <c r="F531" i="1"/>
  <c r="G531" i="1"/>
  <c r="E530" i="1"/>
  <c r="H530" i="1"/>
  <c r="G530" i="1"/>
  <c r="F530" i="1"/>
  <c r="G529" i="1"/>
  <c r="F529" i="1"/>
  <c r="E529" i="1"/>
  <c r="H529" i="1"/>
  <c r="F528" i="1"/>
  <c r="G528" i="1"/>
  <c r="E528" i="1"/>
  <c r="H528" i="1"/>
  <c r="E527" i="1"/>
  <c r="H527" i="1"/>
  <c r="F527" i="1"/>
  <c r="G527" i="1"/>
  <c r="E526" i="1"/>
  <c r="H526" i="1"/>
  <c r="G526" i="1"/>
  <c r="F526" i="1"/>
  <c r="E525" i="1"/>
  <c r="H525" i="1"/>
  <c r="F525" i="1"/>
  <c r="G525" i="1"/>
  <c r="E524" i="1"/>
  <c r="H524" i="1"/>
  <c r="F524" i="1"/>
  <c r="G524" i="1"/>
  <c r="E523" i="1"/>
  <c r="H523" i="1"/>
  <c r="G523" i="1"/>
  <c r="F523" i="1"/>
  <c r="E522" i="1"/>
  <c r="H522" i="1"/>
  <c r="F522" i="1"/>
  <c r="G522" i="1"/>
  <c r="E521" i="1"/>
  <c r="H521" i="1"/>
  <c r="F521" i="1"/>
  <c r="G521" i="1"/>
  <c r="E520" i="1"/>
  <c r="H520" i="1"/>
  <c r="F520" i="1"/>
  <c r="G520" i="1"/>
  <c r="E519" i="1"/>
  <c r="H519" i="1"/>
  <c r="G519" i="1"/>
  <c r="F519" i="1"/>
  <c r="G518" i="1"/>
  <c r="F518" i="1"/>
  <c r="E518" i="1"/>
  <c r="H518" i="1"/>
  <c r="E517" i="1"/>
  <c r="H517" i="1"/>
  <c r="F517" i="1"/>
  <c r="G517" i="1"/>
  <c r="F516" i="1"/>
  <c r="E516" i="1"/>
  <c r="H516" i="1"/>
  <c r="G516" i="1"/>
  <c r="E514" i="1"/>
  <c r="H514" i="1"/>
  <c r="F514" i="1"/>
  <c r="G514" i="1"/>
  <c r="E515" i="1"/>
  <c r="H515" i="1"/>
  <c r="F515" i="1"/>
  <c r="G515" i="1"/>
  <c r="G513" i="1"/>
  <c r="F513" i="1"/>
  <c r="E513" i="1"/>
  <c r="H513" i="1"/>
  <c r="E512" i="1"/>
  <c r="H512" i="1"/>
  <c r="F512" i="1"/>
  <c r="G512" i="1"/>
  <c r="G511" i="1"/>
  <c r="F511" i="1"/>
  <c r="E511" i="1"/>
  <c r="H511" i="1"/>
  <c r="F510" i="1"/>
  <c r="G510" i="1"/>
  <c r="E510" i="1"/>
  <c r="H510" i="1"/>
  <c r="G509" i="1"/>
  <c r="F509" i="1"/>
  <c r="E509" i="1"/>
  <c r="H509" i="1"/>
  <c r="E508" i="1"/>
  <c r="H508" i="1"/>
  <c r="F508" i="1"/>
  <c r="G508" i="1"/>
  <c r="E507" i="1"/>
  <c r="H507" i="1"/>
  <c r="F507" i="1"/>
  <c r="G507" i="1"/>
  <c r="G506" i="1"/>
  <c r="E506" i="1"/>
  <c r="H506" i="1"/>
  <c r="F506" i="1"/>
  <c r="G505" i="1"/>
  <c r="F505" i="1"/>
  <c r="E505" i="1"/>
  <c r="H505" i="1"/>
  <c r="G504" i="1"/>
  <c r="F504" i="1"/>
  <c r="E504" i="1"/>
  <c r="H504" i="1"/>
  <c r="G503" i="1"/>
  <c r="F503" i="1"/>
  <c r="E503" i="1"/>
  <c r="H503" i="1"/>
  <c r="E502" i="1"/>
  <c r="H502" i="1"/>
  <c r="F502" i="1"/>
  <c r="G502" i="1"/>
  <c r="E501" i="1"/>
  <c r="H501" i="1"/>
  <c r="F501" i="1"/>
  <c r="G501" i="1"/>
  <c r="G500" i="1"/>
  <c r="F500" i="1"/>
  <c r="E500" i="1"/>
  <c r="H500" i="1"/>
  <c r="F499" i="1"/>
  <c r="G499" i="1"/>
  <c r="E499" i="1"/>
  <c r="H499" i="1"/>
  <c r="G498" i="1"/>
  <c r="F498" i="1"/>
  <c r="E498" i="1"/>
  <c r="H498" i="1"/>
  <c r="G497" i="1"/>
  <c r="F497" i="1"/>
  <c r="E497" i="1"/>
  <c r="H497" i="1"/>
  <c r="G496" i="1"/>
  <c r="F496" i="1"/>
  <c r="E496" i="1"/>
  <c r="H496" i="1"/>
  <c r="G495" i="1"/>
  <c r="F495" i="1"/>
  <c r="E495" i="1"/>
  <c r="H495" i="1"/>
  <c r="E494" i="1"/>
  <c r="H494" i="1"/>
  <c r="G494" i="1"/>
  <c r="G493" i="1"/>
  <c r="E493" i="1"/>
  <c r="H493" i="1"/>
  <c r="G492" i="1"/>
  <c r="E492" i="1"/>
  <c r="H492" i="1"/>
  <c r="G491" i="1"/>
  <c r="F491" i="1"/>
  <c r="E491" i="1"/>
  <c r="H491" i="1"/>
  <c r="E490" i="1"/>
  <c r="H490" i="1"/>
  <c r="F490" i="1"/>
  <c r="G490" i="1"/>
  <c r="E489" i="1"/>
  <c r="H489" i="1"/>
  <c r="G489" i="1"/>
  <c r="F489" i="1"/>
  <c r="E488" i="1"/>
  <c r="H488" i="1"/>
  <c r="F488" i="1"/>
  <c r="G488" i="1"/>
  <c r="E487" i="1"/>
  <c r="H487" i="1"/>
  <c r="G487" i="1"/>
  <c r="F487" i="1"/>
  <c r="H485" i="1"/>
  <c r="E486" i="1"/>
  <c r="H486" i="1"/>
  <c r="F486" i="1"/>
  <c r="G486" i="1"/>
  <c r="G485" i="1"/>
  <c r="F485" i="1"/>
  <c r="E485" i="1"/>
  <c r="E484" i="1"/>
  <c r="H484" i="1"/>
  <c r="G484" i="1"/>
  <c r="F484" i="1"/>
  <c r="E483" i="1"/>
  <c r="H483" i="1"/>
  <c r="G483" i="1"/>
  <c r="F483" i="1"/>
  <c r="E482" i="1"/>
  <c r="H482" i="1"/>
  <c r="F482" i="1"/>
  <c r="G482" i="1"/>
  <c r="G481" i="1"/>
  <c r="F481" i="1"/>
  <c r="E481" i="1"/>
  <c r="H481" i="1"/>
  <c r="G480" i="1"/>
  <c r="F480" i="1"/>
  <c r="E480" i="1"/>
  <c r="H480" i="1"/>
  <c r="E479" i="1"/>
  <c r="H479" i="1"/>
  <c r="F479" i="1"/>
  <c r="G479" i="1"/>
  <c r="E478" i="1"/>
  <c r="H478" i="1"/>
  <c r="G478" i="1"/>
  <c r="F478" i="1"/>
  <c r="E477" i="1"/>
  <c r="H477" i="1"/>
  <c r="G477" i="1"/>
  <c r="F477" i="1"/>
  <c r="E476" i="1"/>
  <c r="H476" i="1"/>
  <c r="G476" i="1"/>
  <c r="F476" i="1"/>
  <c r="G475" i="1"/>
  <c r="F475" i="1"/>
  <c r="E475" i="1"/>
  <c r="H475" i="1"/>
  <c r="E474" i="1"/>
  <c r="H474" i="1"/>
  <c r="F474" i="1"/>
  <c r="G474" i="1"/>
  <c r="E473" i="1"/>
  <c r="H473" i="1"/>
  <c r="F473" i="1"/>
  <c r="G473" i="1"/>
  <c r="G472" i="1"/>
  <c r="F472" i="1"/>
  <c r="E472" i="1"/>
  <c r="H472" i="1"/>
  <c r="G471" i="1"/>
  <c r="F471" i="1"/>
  <c r="E471" i="1"/>
  <c r="H471" i="1"/>
  <c r="E470" i="1"/>
  <c r="H470" i="1"/>
  <c r="F470" i="1"/>
  <c r="G470" i="1"/>
  <c r="E469" i="1"/>
  <c r="H469" i="1"/>
  <c r="F469" i="1"/>
  <c r="G469" i="1"/>
  <c r="G468" i="1"/>
  <c r="F468" i="1"/>
  <c r="E468" i="1"/>
  <c r="H468" i="1"/>
  <c r="E467" i="1"/>
  <c r="H467" i="1"/>
  <c r="G467" i="1"/>
  <c r="F467" i="1"/>
  <c r="E466" i="1"/>
  <c r="H466" i="1"/>
  <c r="F466" i="1"/>
  <c r="G466" i="1"/>
  <c r="E465" i="1"/>
  <c r="H465" i="1"/>
  <c r="G465" i="1"/>
  <c r="F465" i="1"/>
  <c r="G464" i="1"/>
  <c r="F464" i="1"/>
  <c r="E464" i="1"/>
  <c r="H464" i="1"/>
  <c r="E463" i="1"/>
  <c r="H463" i="1"/>
  <c r="F463" i="1"/>
  <c r="G463" i="1"/>
  <c r="G462" i="1"/>
  <c r="F462" i="1"/>
  <c r="E462" i="1"/>
  <c r="H462" i="1"/>
  <c r="E461" i="1"/>
  <c r="H461" i="1"/>
  <c r="F461" i="1"/>
  <c r="G461" i="1"/>
  <c r="E460" i="1"/>
  <c r="H460" i="1"/>
  <c r="G460" i="1"/>
  <c r="F460" i="1"/>
  <c r="E459" i="1"/>
  <c r="H459" i="1"/>
  <c r="F459" i="1"/>
  <c r="G459" i="1"/>
  <c r="E458" i="1"/>
  <c r="H458" i="1"/>
  <c r="F458" i="1"/>
  <c r="G458" i="1"/>
  <c r="G457" i="1"/>
  <c r="F457" i="1"/>
  <c r="E457" i="1"/>
  <c r="H457" i="1"/>
  <c r="E456" i="1"/>
  <c r="H456" i="1"/>
  <c r="G456" i="1"/>
  <c r="F456" i="1"/>
  <c r="G455" i="1"/>
  <c r="F455" i="1"/>
  <c r="E455" i="1"/>
  <c r="H455" i="1"/>
  <c r="G454" i="1"/>
  <c r="F454" i="1"/>
  <c r="E454" i="1"/>
  <c r="H454" i="1"/>
  <c r="G453" i="1"/>
  <c r="F453" i="1"/>
  <c r="E453" i="1"/>
  <c r="H453" i="1"/>
  <c r="E452" i="1"/>
  <c r="H452" i="1"/>
  <c r="F452" i="1"/>
  <c r="G452" i="1"/>
  <c r="E451" i="1"/>
  <c r="H451" i="1"/>
  <c r="G451" i="1"/>
  <c r="F451" i="1"/>
  <c r="E450" i="1"/>
  <c r="H450" i="1"/>
  <c r="G450" i="1"/>
  <c r="F450" i="1"/>
  <c r="E449" i="1"/>
  <c r="H449" i="1"/>
  <c r="G449" i="1"/>
  <c r="F449" i="1"/>
  <c r="E448" i="1"/>
  <c r="H448" i="1"/>
  <c r="G448" i="1"/>
  <c r="F448" i="1"/>
  <c r="E447" i="1"/>
  <c r="H447" i="1"/>
  <c r="G447" i="1"/>
  <c r="F447" i="1"/>
  <c r="G446" i="1"/>
  <c r="F446" i="1"/>
  <c r="E446" i="1"/>
  <c r="H446" i="1"/>
  <c r="G445" i="1"/>
  <c r="F445" i="1"/>
  <c r="E445" i="1"/>
  <c r="H445" i="1"/>
  <c r="E444" i="1"/>
  <c r="H444" i="1"/>
  <c r="G444" i="1"/>
  <c r="F444" i="1"/>
  <c r="E443" i="1"/>
  <c r="H443" i="1"/>
  <c r="F443" i="1"/>
  <c r="G443" i="1"/>
  <c r="E442" i="1"/>
  <c r="H442" i="1"/>
  <c r="G442" i="1"/>
  <c r="F442" i="1"/>
  <c r="E441" i="1"/>
  <c r="H441" i="1"/>
  <c r="G441" i="1"/>
  <c r="F441" i="1"/>
  <c r="G440" i="1"/>
  <c r="F440" i="1"/>
  <c r="E440" i="1"/>
  <c r="H440" i="1"/>
  <c r="E439" i="1"/>
  <c r="H439" i="1"/>
  <c r="G439" i="1"/>
  <c r="F439" i="1"/>
  <c r="E438" i="1"/>
  <c r="H438" i="1"/>
  <c r="F438" i="1"/>
  <c r="G438" i="1"/>
  <c r="G437" i="1"/>
  <c r="F437" i="1"/>
  <c r="E437" i="1"/>
  <c r="H437" i="1"/>
  <c r="E436" i="1"/>
  <c r="H436" i="1"/>
  <c r="F436" i="1"/>
  <c r="G436" i="1"/>
  <c r="E435" i="1"/>
  <c r="H435" i="1"/>
  <c r="F435" i="1"/>
  <c r="G435" i="1"/>
  <c r="E434" i="1"/>
  <c r="H434" i="1"/>
  <c r="G434" i="1"/>
  <c r="F434" i="1"/>
  <c r="E433" i="1"/>
  <c r="H433" i="1"/>
  <c r="F433" i="1"/>
  <c r="G433" i="1"/>
  <c r="E432" i="1"/>
  <c r="H432" i="1"/>
  <c r="G432" i="1"/>
  <c r="F432" i="1"/>
  <c r="E431" i="1"/>
  <c r="H431" i="1"/>
  <c r="G431" i="1"/>
  <c r="F431" i="1"/>
  <c r="E430" i="1"/>
  <c r="H430" i="1"/>
  <c r="F430" i="1"/>
  <c r="G430" i="1"/>
  <c r="E429" i="1"/>
  <c r="H429" i="1"/>
  <c r="F429" i="1"/>
  <c r="G429" i="1"/>
  <c r="E428" i="1"/>
  <c r="H428" i="1"/>
  <c r="F428" i="1"/>
  <c r="G428" i="1"/>
  <c r="E427" i="1"/>
  <c r="H427" i="1"/>
  <c r="F427" i="1"/>
  <c r="G427" i="1"/>
  <c r="E426" i="1"/>
  <c r="H426" i="1"/>
  <c r="G426" i="1"/>
  <c r="F426" i="1"/>
  <c r="E425" i="1"/>
  <c r="H425" i="1"/>
  <c r="F425" i="1"/>
  <c r="G425" i="1"/>
  <c r="E424" i="1"/>
  <c r="H424" i="1"/>
  <c r="F424" i="1"/>
  <c r="G424" i="1"/>
  <c r="E423" i="1"/>
  <c r="H423" i="1"/>
  <c r="G423" i="1"/>
  <c r="F423" i="1"/>
  <c r="E422" i="1"/>
  <c r="H422" i="1"/>
  <c r="G422" i="1"/>
  <c r="F422" i="1"/>
  <c r="E419" i="1"/>
  <c r="H419" i="1"/>
  <c r="E420" i="1"/>
  <c r="H420" i="1"/>
  <c r="E421" i="1"/>
  <c r="H421" i="1"/>
  <c r="G419" i="1"/>
  <c r="G420" i="1"/>
  <c r="G421" i="1"/>
  <c r="F419" i="1"/>
  <c r="F420" i="1"/>
  <c r="F421" i="1"/>
  <c r="E418" i="1"/>
  <c r="H418" i="1"/>
  <c r="F418" i="1"/>
  <c r="G418" i="1"/>
  <c r="E417" i="1"/>
  <c r="H417" i="1"/>
  <c r="G417" i="1"/>
  <c r="F41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E74" i="1"/>
  <c r="H74" i="1" s="1"/>
  <c r="G74" i="1"/>
  <c r="E75" i="1"/>
  <c r="H75" i="1"/>
  <c r="G75" i="1"/>
  <c r="E76" i="1"/>
  <c r="H76" i="1"/>
  <c r="G76" i="1"/>
  <c r="H77" i="1"/>
  <c r="H78" i="1"/>
  <c r="H79" i="1"/>
  <c r="H80" i="1"/>
  <c r="H81" i="1"/>
  <c r="H82" i="1"/>
  <c r="H83" i="1"/>
  <c r="H84" i="1"/>
  <c r="H85" i="1"/>
  <c r="H86" i="1"/>
  <c r="I86" i="1"/>
  <c r="H87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E120" i="1"/>
  <c r="H120" i="1" s="1"/>
  <c r="F120" i="1"/>
  <c r="G120" i="1"/>
  <c r="E121" i="1"/>
  <c r="H121" i="1" s="1"/>
  <c r="F121" i="1"/>
  <c r="G121" i="1"/>
  <c r="E122" i="1"/>
  <c r="H122" i="1" s="1"/>
  <c r="F122" i="1"/>
  <c r="G122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E194" i="1"/>
  <c r="H194" i="1"/>
  <c r="E195" i="1"/>
  <c r="H195" i="1"/>
  <c r="E196" i="1"/>
  <c r="H196" i="1"/>
  <c r="E197" i="1"/>
  <c r="H197" i="1"/>
  <c r="E198" i="1"/>
  <c r="H198" i="1"/>
  <c r="E199" i="1"/>
  <c r="H199" i="1"/>
  <c r="E200" i="1"/>
  <c r="H200" i="1"/>
  <c r="E201" i="1"/>
  <c r="H201" i="1"/>
  <c r="E202" i="1"/>
  <c r="H202" i="1"/>
  <c r="E203" i="1"/>
  <c r="H203" i="1"/>
  <c r="E204" i="1"/>
  <c r="H204" i="1"/>
  <c r="E205" i="1"/>
  <c r="H205" i="1"/>
  <c r="E206" i="1"/>
  <c r="H206" i="1"/>
  <c r="E207" i="1"/>
  <c r="H207" i="1"/>
  <c r="E208" i="1"/>
  <c r="H208" i="1"/>
  <c r="E209" i="1"/>
  <c r="H209" i="1"/>
  <c r="E210" i="1"/>
  <c r="H210" i="1"/>
  <c r="E211" i="1"/>
  <c r="H211" i="1"/>
  <c r="E212" i="1"/>
  <c r="H212" i="1"/>
  <c r="E213" i="1"/>
  <c r="H213" i="1"/>
  <c r="E214" i="1"/>
  <c r="H214" i="1"/>
  <c r="E215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E236" i="1"/>
  <c r="H236" i="1"/>
  <c r="G236" i="1"/>
  <c r="E237" i="1"/>
  <c r="H237" i="1"/>
  <c r="F237" i="1"/>
  <c r="G237" i="1"/>
  <c r="E239" i="1"/>
  <c r="H239" i="1"/>
  <c r="F239" i="1"/>
  <c r="G239" i="1"/>
  <c r="E240" i="1"/>
  <c r="H240" i="1"/>
  <c r="F240" i="1"/>
  <c r="G240" i="1"/>
  <c r="E241" i="1"/>
  <c r="H241" i="1"/>
  <c r="F241" i="1"/>
  <c r="G241" i="1"/>
  <c r="E242" i="1"/>
  <c r="H242" i="1"/>
  <c r="F242" i="1"/>
  <c r="G242" i="1"/>
  <c r="E243" i="1"/>
  <c r="F243" i="1"/>
  <c r="G243" i="1"/>
  <c r="H243" i="1" s="1"/>
  <c r="E244" i="1"/>
  <c r="F244" i="1"/>
  <c r="G244" i="1"/>
  <c r="H244" i="1" s="1"/>
  <c r="E245" i="1"/>
  <c r="F245" i="1"/>
  <c r="G245" i="1"/>
  <c r="H245" i="1" s="1"/>
  <c r="E246" i="1"/>
  <c r="H246" i="1"/>
  <c r="F246" i="1"/>
  <c r="G246" i="1"/>
  <c r="E247" i="1"/>
  <c r="H247" i="1"/>
  <c r="F247" i="1"/>
  <c r="G247" i="1"/>
  <c r="E248" i="1"/>
  <c r="H248" i="1"/>
  <c r="F248" i="1"/>
  <c r="G248" i="1"/>
  <c r="E249" i="1"/>
  <c r="H249" i="1"/>
  <c r="F249" i="1"/>
  <c r="G249" i="1"/>
  <c r="E250" i="1"/>
  <c r="H250" i="1"/>
  <c r="F250" i="1"/>
  <c r="G250" i="1"/>
  <c r="E253" i="1"/>
  <c r="H253" i="1"/>
  <c r="F253" i="1"/>
  <c r="G253" i="1"/>
  <c r="E254" i="1"/>
  <c r="H254" i="1"/>
  <c r="F254" i="1"/>
  <c r="G254" i="1"/>
  <c r="E255" i="1"/>
  <c r="H255" i="1"/>
  <c r="F255" i="1"/>
  <c r="G255" i="1"/>
  <c r="E256" i="1"/>
  <c r="H256" i="1"/>
  <c r="F256" i="1"/>
  <c r="G256" i="1"/>
  <c r="E257" i="1"/>
  <c r="H257" i="1"/>
  <c r="F257" i="1"/>
  <c r="G257" i="1"/>
  <c r="E258" i="1"/>
  <c r="H258" i="1"/>
  <c r="F258" i="1"/>
  <c r="G258" i="1"/>
  <c r="E259" i="1"/>
  <c r="H259" i="1"/>
  <c r="F259" i="1"/>
  <c r="G259" i="1"/>
  <c r="E260" i="1"/>
  <c r="H260" i="1"/>
  <c r="F260" i="1"/>
  <c r="G260" i="1"/>
  <c r="E261" i="1"/>
  <c r="H261" i="1"/>
  <c r="F261" i="1"/>
  <c r="G261" i="1"/>
  <c r="E262" i="1"/>
  <c r="H262" i="1"/>
  <c r="F262" i="1"/>
  <c r="G262" i="1"/>
  <c r="E263" i="1"/>
  <c r="H263" i="1"/>
  <c r="F263" i="1"/>
  <c r="G263" i="1"/>
  <c r="E264" i="1"/>
  <c r="H264" i="1"/>
  <c r="F264" i="1"/>
  <c r="G264" i="1"/>
  <c r="E267" i="1"/>
  <c r="H267" i="1"/>
  <c r="F267" i="1"/>
  <c r="G267" i="1"/>
  <c r="E268" i="1"/>
  <c r="H268" i="1"/>
  <c r="F268" i="1"/>
  <c r="G268" i="1"/>
  <c r="E269" i="1"/>
  <c r="H269" i="1"/>
  <c r="F269" i="1"/>
  <c r="G269" i="1"/>
  <c r="E270" i="1"/>
  <c r="H270" i="1"/>
  <c r="F270" i="1"/>
  <c r="G270" i="1"/>
  <c r="E271" i="1"/>
  <c r="H271" i="1"/>
  <c r="F271" i="1"/>
  <c r="G271" i="1"/>
  <c r="E272" i="1"/>
  <c r="H272" i="1"/>
  <c r="F272" i="1"/>
  <c r="G272" i="1"/>
  <c r="H273" i="1"/>
  <c r="H274" i="1"/>
  <c r="E277" i="1"/>
  <c r="H277" i="1" s="1"/>
  <c r="F277" i="1"/>
  <c r="G277" i="1"/>
  <c r="E278" i="1"/>
  <c r="H278" i="1" s="1"/>
  <c r="F278" i="1"/>
  <c r="G278" i="1"/>
  <c r="E279" i="1"/>
  <c r="H279" i="1" s="1"/>
  <c r="F279" i="1"/>
  <c r="G279" i="1"/>
  <c r="E280" i="1"/>
  <c r="H280" i="1" s="1"/>
  <c r="F280" i="1"/>
  <c r="G280" i="1"/>
  <c r="E281" i="1"/>
  <c r="H281" i="1" s="1"/>
  <c r="F281" i="1"/>
  <c r="G281" i="1"/>
  <c r="E282" i="1"/>
  <c r="H282" i="1" s="1"/>
  <c r="F282" i="1"/>
  <c r="G282" i="1"/>
  <c r="E283" i="1"/>
  <c r="H283" i="1" s="1"/>
  <c r="F283" i="1"/>
  <c r="G283" i="1"/>
  <c r="E284" i="1"/>
  <c r="H284" i="1" s="1"/>
  <c r="F284" i="1"/>
  <c r="G284" i="1"/>
  <c r="E285" i="1"/>
  <c r="H285" i="1" s="1"/>
  <c r="F285" i="1"/>
  <c r="G285" i="1"/>
  <c r="E286" i="1"/>
  <c r="H286" i="1" s="1"/>
  <c r="F286" i="1"/>
  <c r="G286" i="1"/>
  <c r="E287" i="1"/>
  <c r="H287" i="1" s="1"/>
  <c r="F287" i="1"/>
  <c r="G287" i="1"/>
  <c r="E288" i="1"/>
  <c r="H288" i="1" s="1"/>
  <c r="F288" i="1"/>
  <c r="G288" i="1"/>
  <c r="E289" i="1"/>
  <c r="H289" i="1" s="1"/>
  <c r="F289" i="1"/>
  <c r="G289" i="1"/>
  <c r="E290" i="1"/>
  <c r="H290" i="1" s="1"/>
  <c r="F290" i="1"/>
  <c r="G290" i="1"/>
  <c r="E291" i="1"/>
  <c r="H291" i="1" s="1"/>
  <c r="F291" i="1"/>
  <c r="G291" i="1"/>
  <c r="E292" i="1"/>
  <c r="H292" i="1" s="1"/>
  <c r="F292" i="1"/>
  <c r="G292" i="1"/>
  <c r="E293" i="1"/>
  <c r="H293" i="1" s="1"/>
  <c r="F293" i="1"/>
  <c r="G293" i="1"/>
  <c r="E294" i="1"/>
  <c r="H294" i="1" s="1"/>
  <c r="F294" i="1"/>
  <c r="G294" i="1"/>
  <c r="E295" i="1"/>
  <c r="H295" i="1" s="1"/>
  <c r="F295" i="1"/>
  <c r="G295" i="1"/>
  <c r="E296" i="1"/>
  <c r="H296" i="1" s="1"/>
  <c r="F296" i="1"/>
  <c r="G296" i="1"/>
  <c r="E297" i="1"/>
  <c r="H297" i="1" s="1"/>
  <c r="F297" i="1"/>
  <c r="G297" i="1"/>
  <c r="E298" i="1"/>
  <c r="H298" i="1" s="1"/>
  <c r="F298" i="1"/>
  <c r="G298" i="1"/>
  <c r="E299" i="1"/>
  <c r="H299" i="1" s="1"/>
  <c r="F299" i="1"/>
  <c r="G299" i="1"/>
  <c r="E300" i="1"/>
  <c r="H300" i="1" s="1"/>
  <c r="F300" i="1"/>
  <c r="G300" i="1"/>
  <c r="E301" i="1"/>
  <c r="H301" i="1" s="1"/>
  <c r="F301" i="1"/>
  <c r="G301" i="1"/>
  <c r="E302" i="1"/>
  <c r="H302" i="1" s="1"/>
  <c r="F302" i="1"/>
  <c r="G302" i="1"/>
  <c r="E303" i="1"/>
  <c r="H303" i="1" s="1"/>
  <c r="F303" i="1"/>
  <c r="G303" i="1"/>
  <c r="E304" i="1"/>
  <c r="H304" i="1" s="1"/>
  <c r="F304" i="1"/>
  <c r="G304" i="1"/>
  <c r="E307" i="1"/>
  <c r="H307" i="1" s="1"/>
  <c r="F307" i="1"/>
  <c r="G307" i="1"/>
  <c r="E308" i="1"/>
  <c r="H308" i="1" s="1"/>
  <c r="F308" i="1"/>
  <c r="G308" i="1"/>
  <c r="E309" i="1"/>
  <c r="H309" i="1" s="1"/>
  <c r="F309" i="1"/>
  <c r="G309" i="1"/>
  <c r="E310" i="1"/>
  <c r="H310" i="1" s="1"/>
  <c r="F310" i="1"/>
  <c r="G310" i="1"/>
  <c r="E311" i="1"/>
  <c r="H311" i="1" s="1"/>
  <c r="F311" i="1"/>
  <c r="G311" i="1"/>
  <c r="E312" i="1"/>
  <c r="H312" i="1" s="1"/>
  <c r="F312" i="1"/>
  <c r="G312" i="1"/>
  <c r="E313" i="1"/>
  <c r="H313" i="1" s="1"/>
  <c r="F313" i="1"/>
  <c r="G313" i="1"/>
  <c r="E314" i="1"/>
  <c r="H314" i="1" s="1"/>
  <c r="F314" i="1"/>
  <c r="G314" i="1"/>
  <c r="E315" i="1"/>
  <c r="H315" i="1" s="1"/>
  <c r="F315" i="1"/>
  <c r="G315" i="1"/>
  <c r="E318" i="1"/>
  <c r="H318" i="1" s="1"/>
  <c r="F318" i="1"/>
  <c r="G318" i="1"/>
  <c r="E319" i="1"/>
  <c r="H319" i="1" s="1"/>
  <c r="F319" i="1"/>
  <c r="G319" i="1"/>
  <c r="E320" i="1"/>
  <c r="H320" i="1" s="1"/>
  <c r="F320" i="1"/>
  <c r="G320" i="1"/>
  <c r="E321" i="1"/>
  <c r="H321" i="1" s="1"/>
  <c r="F321" i="1"/>
  <c r="G321" i="1"/>
  <c r="E322" i="1"/>
  <c r="H322" i="1" s="1"/>
  <c r="F322" i="1"/>
  <c r="G322" i="1"/>
  <c r="E323" i="1"/>
  <c r="H323" i="1" s="1"/>
  <c r="F323" i="1"/>
  <c r="G323" i="1"/>
  <c r="E324" i="1"/>
  <c r="H324" i="1" s="1"/>
  <c r="F324" i="1"/>
  <c r="G324" i="1"/>
  <c r="E325" i="1"/>
  <c r="H325" i="1" s="1"/>
  <c r="F325" i="1"/>
  <c r="G325" i="1"/>
  <c r="E326" i="1"/>
  <c r="H326" i="1" s="1"/>
  <c r="F326" i="1"/>
  <c r="G326" i="1"/>
  <c r="E327" i="1"/>
  <c r="H327" i="1" s="1"/>
  <c r="F327" i="1"/>
  <c r="G327" i="1"/>
  <c r="E328" i="1"/>
  <c r="H328" i="1" s="1"/>
  <c r="F328" i="1"/>
  <c r="G328" i="1"/>
  <c r="E330" i="1"/>
  <c r="H330" i="1" s="1"/>
  <c r="F330" i="1"/>
  <c r="G330" i="1"/>
  <c r="E331" i="1"/>
  <c r="H331" i="1" s="1"/>
  <c r="F331" i="1"/>
  <c r="G331" i="1"/>
  <c r="E332" i="1"/>
  <c r="H332" i="1" s="1"/>
  <c r="F332" i="1"/>
  <c r="G332" i="1"/>
  <c r="E333" i="1"/>
  <c r="H333" i="1" s="1"/>
  <c r="F333" i="1"/>
  <c r="G333" i="1"/>
  <c r="E334" i="1"/>
  <c r="H334" i="1" s="1"/>
  <c r="F334" i="1"/>
  <c r="G334" i="1"/>
  <c r="E335" i="1"/>
  <c r="H335" i="1" s="1"/>
  <c r="F335" i="1"/>
  <c r="G335" i="1"/>
  <c r="E336" i="1"/>
  <c r="H336" i="1" s="1"/>
  <c r="F336" i="1"/>
  <c r="G336" i="1"/>
  <c r="E337" i="1"/>
  <c r="H337" i="1" s="1"/>
  <c r="F337" i="1"/>
  <c r="G337" i="1"/>
  <c r="E338" i="1"/>
  <c r="H338" i="1" s="1"/>
  <c r="F338" i="1"/>
  <c r="G338" i="1"/>
  <c r="E339" i="1"/>
  <c r="H339" i="1" s="1"/>
  <c r="F339" i="1"/>
  <c r="G339" i="1"/>
  <c r="E340" i="1"/>
  <c r="H340" i="1" s="1"/>
  <c r="F340" i="1"/>
  <c r="G340" i="1"/>
  <c r="E341" i="1"/>
  <c r="H341" i="1" s="1"/>
  <c r="F341" i="1"/>
  <c r="G341" i="1"/>
  <c r="E342" i="1"/>
  <c r="H342" i="1" s="1"/>
  <c r="F342" i="1"/>
  <c r="G342" i="1"/>
  <c r="E343" i="1"/>
  <c r="H343" i="1" s="1"/>
  <c r="F343" i="1"/>
  <c r="G343" i="1"/>
  <c r="E344" i="1"/>
  <c r="H344" i="1" s="1"/>
  <c r="F344" i="1"/>
  <c r="G344" i="1"/>
  <c r="E345" i="1"/>
  <c r="H345" i="1" s="1"/>
  <c r="F345" i="1"/>
  <c r="G345" i="1"/>
  <c r="E346" i="1"/>
  <c r="H346" i="1" s="1"/>
  <c r="F346" i="1"/>
  <c r="G346" i="1"/>
  <c r="E347" i="1"/>
  <c r="H347" i="1" s="1"/>
  <c r="F347" i="1"/>
  <c r="G347" i="1"/>
  <c r="E348" i="1"/>
  <c r="H348" i="1" s="1"/>
  <c r="F348" i="1"/>
  <c r="G348" i="1"/>
  <c r="E349" i="1"/>
  <c r="H349" i="1" s="1"/>
  <c r="F349" i="1"/>
  <c r="G349" i="1"/>
  <c r="E350" i="1"/>
  <c r="H350" i="1" s="1"/>
  <c r="F350" i="1"/>
  <c r="G350" i="1"/>
  <c r="E351" i="1"/>
  <c r="H351" i="1" s="1"/>
  <c r="F351" i="1"/>
  <c r="G351" i="1"/>
  <c r="E352" i="1"/>
  <c r="H352" i="1" s="1"/>
  <c r="F352" i="1"/>
  <c r="G352" i="1"/>
  <c r="E353" i="1"/>
  <c r="H353" i="1" s="1"/>
  <c r="F353" i="1"/>
  <c r="G353" i="1"/>
  <c r="E354" i="1"/>
  <c r="H354" i="1" s="1"/>
  <c r="F354" i="1"/>
  <c r="G354" i="1"/>
  <c r="E355" i="1"/>
  <c r="H355" i="1" s="1"/>
  <c r="F355" i="1"/>
  <c r="G355" i="1"/>
  <c r="E356" i="1"/>
  <c r="H356" i="1" s="1"/>
  <c r="F356" i="1"/>
  <c r="G356" i="1"/>
  <c r="E357" i="1"/>
  <c r="H357" i="1" s="1"/>
  <c r="F357" i="1"/>
  <c r="G357" i="1"/>
  <c r="E358" i="1"/>
  <c r="H358" i="1" s="1"/>
  <c r="F358" i="1"/>
  <c r="G358" i="1"/>
  <c r="E359" i="1"/>
  <c r="H359" i="1" s="1"/>
  <c r="F359" i="1"/>
  <c r="G359" i="1"/>
  <c r="E360" i="1"/>
  <c r="H360" i="1"/>
  <c r="F360" i="1"/>
  <c r="G360" i="1"/>
  <c r="E361" i="1"/>
  <c r="H361" i="1"/>
  <c r="F361" i="1"/>
  <c r="G361" i="1"/>
  <c r="E362" i="1"/>
  <c r="H362" i="1"/>
  <c r="F362" i="1"/>
  <c r="G362" i="1"/>
  <c r="E363" i="1"/>
  <c r="H363" i="1" s="1"/>
  <c r="F363" i="1"/>
  <c r="G363" i="1"/>
  <c r="E364" i="1"/>
  <c r="H364" i="1" s="1"/>
  <c r="F364" i="1"/>
  <c r="G364" i="1"/>
  <c r="E365" i="1"/>
  <c r="H365" i="1" s="1"/>
  <c r="F365" i="1"/>
  <c r="G365" i="1"/>
  <c r="E366" i="1"/>
  <c r="H366" i="1" s="1"/>
  <c r="F366" i="1"/>
  <c r="G366" i="1"/>
  <c r="E368" i="1"/>
  <c r="H368" i="1" s="1"/>
  <c r="F368" i="1"/>
  <c r="G368" i="1"/>
  <c r="E369" i="1"/>
  <c r="H369" i="1" s="1"/>
  <c r="F369" i="1"/>
  <c r="G369" i="1"/>
  <c r="E370" i="1"/>
  <c r="H370" i="1" s="1"/>
  <c r="F370" i="1"/>
  <c r="G370" i="1"/>
  <c r="E371" i="1"/>
  <c r="H371" i="1" s="1"/>
  <c r="F371" i="1"/>
  <c r="G371" i="1"/>
  <c r="E372" i="1"/>
  <c r="H372" i="1" s="1"/>
  <c r="F372" i="1"/>
  <c r="G372" i="1"/>
  <c r="E373" i="1"/>
  <c r="H373" i="1" s="1"/>
  <c r="F373" i="1"/>
  <c r="G373" i="1"/>
  <c r="E374" i="1"/>
  <c r="H374" i="1" s="1"/>
  <c r="F374" i="1"/>
  <c r="G374" i="1"/>
  <c r="E375" i="1"/>
  <c r="H375" i="1" s="1"/>
  <c r="F375" i="1"/>
  <c r="G375" i="1"/>
  <c r="E376" i="1"/>
  <c r="H376" i="1" s="1"/>
  <c r="F376" i="1"/>
  <c r="G376" i="1"/>
  <c r="E377" i="1"/>
  <c r="H377" i="1" s="1"/>
  <c r="F377" i="1"/>
  <c r="G377" i="1"/>
  <c r="E378" i="1"/>
  <c r="H378" i="1" s="1"/>
  <c r="F378" i="1"/>
  <c r="G378" i="1"/>
  <c r="E379" i="1"/>
  <c r="H379" i="1" s="1"/>
  <c r="F379" i="1"/>
  <c r="G379" i="1"/>
  <c r="E380" i="1"/>
  <c r="H380" i="1" s="1"/>
  <c r="F380" i="1"/>
  <c r="G380" i="1"/>
  <c r="E381" i="1"/>
  <c r="H381" i="1" s="1"/>
  <c r="F381" i="1"/>
  <c r="G381" i="1"/>
  <c r="E382" i="1"/>
  <c r="H382" i="1" s="1"/>
  <c r="F382" i="1"/>
  <c r="G382" i="1"/>
  <c r="E383" i="1"/>
  <c r="H383" i="1" s="1"/>
  <c r="F383" i="1"/>
  <c r="G383" i="1"/>
  <c r="E384" i="1"/>
  <c r="H384" i="1" s="1"/>
  <c r="F384" i="1"/>
  <c r="G384" i="1"/>
  <c r="E385" i="1"/>
  <c r="H385" i="1" s="1"/>
  <c r="F385" i="1"/>
  <c r="G385" i="1"/>
  <c r="E386" i="1"/>
  <c r="H386" i="1" s="1"/>
  <c r="F386" i="1"/>
  <c r="G386" i="1"/>
  <c r="E387" i="1"/>
  <c r="H387" i="1" s="1"/>
  <c r="F387" i="1"/>
  <c r="G387" i="1"/>
  <c r="E388" i="1"/>
  <c r="H388" i="1" s="1"/>
  <c r="F388" i="1"/>
  <c r="G388" i="1"/>
  <c r="E389" i="1"/>
  <c r="H389" i="1" s="1"/>
  <c r="F389" i="1"/>
  <c r="G389" i="1"/>
  <c r="E390" i="1"/>
  <c r="H390" i="1" s="1"/>
  <c r="F390" i="1"/>
  <c r="G390" i="1"/>
  <c r="E391" i="1"/>
  <c r="H391" i="1" s="1"/>
  <c r="F391" i="1"/>
  <c r="G391" i="1"/>
  <c r="E392" i="1"/>
  <c r="H392" i="1" s="1"/>
  <c r="F392" i="1"/>
  <c r="G392" i="1"/>
  <c r="E393" i="1"/>
  <c r="H393" i="1" s="1"/>
  <c r="F393" i="1"/>
  <c r="G393" i="1"/>
  <c r="E394" i="1"/>
  <c r="H394" i="1" s="1"/>
  <c r="F394" i="1"/>
  <c r="G394" i="1"/>
  <c r="E395" i="1"/>
  <c r="H395" i="1" s="1"/>
  <c r="F395" i="1"/>
  <c r="G395" i="1"/>
  <c r="E396" i="1"/>
  <c r="H396" i="1" s="1"/>
  <c r="F396" i="1"/>
  <c r="G396" i="1"/>
  <c r="E397" i="1"/>
  <c r="H397" i="1" s="1"/>
  <c r="F397" i="1"/>
  <c r="G397" i="1"/>
  <c r="E398" i="1"/>
  <c r="H398" i="1" s="1"/>
  <c r="F398" i="1"/>
  <c r="G398" i="1"/>
  <c r="E399" i="1"/>
  <c r="H399" i="1" s="1"/>
  <c r="F399" i="1"/>
  <c r="G399" i="1"/>
  <c r="E400" i="1"/>
  <c r="H400" i="1" s="1"/>
  <c r="F400" i="1"/>
  <c r="G400" i="1"/>
  <c r="E401" i="1"/>
  <c r="H401" i="1" s="1"/>
  <c r="F401" i="1"/>
  <c r="G401" i="1"/>
  <c r="E402" i="1"/>
  <c r="H402" i="1" s="1"/>
  <c r="F402" i="1"/>
  <c r="G402" i="1"/>
  <c r="E403" i="1"/>
  <c r="H403" i="1" s="1"/>
  <c r="F403" i="1"/>
  <c r="G403" i="1"/>
  <c r="E404" i="1"/>
  <c r="H404" i="1" s="1"/>
  <c r="F404" i="1"/>
  <c r="G404" i="1"/>
  <c r="E405" i="1"/>
  <c r="H405" i="1" s="1"/>
  <c r="F405" i="1"/>
  <c r="G405" i="1"/>
  <c r="E406" i="1"/>
  <c r="H406" i="1"/>
  <c r="F406" i="1"/>
  <c r="G406" i="1"/>
  <c r="E407" i="1"/>
  <c r="H407" i="1"/>
  <c r="F407" i="1"/>
  <c r="G407" i="1"/>
  <c r="E408" i="1"/>
  <c r="H408" i="1"/>
  <c r="F408" i="1"/>
  <c r="G408" i="1"/>
  <c r="E409" i="1"/>
  <c r="H409" i="1"/>
  <c r="F409" i="1"/>
  <c r="G409" i="1"/>
  <c r="E410" i="1"/>
  <c r="H410" i="1"/>
  <c r="F410" i="1"/>
  <c r="G410" i="1"/>
  <c r="E411" i="1"/>
  <c r="H411" i="1"/>
  <c r="F411" i="1"/>
  <c r="G411" i="1"/>
  <c r="E412" i="1"/>
  <c r="H412" i="1"/>
  <c r="F412" i="1"/>
  <c r="G412" i="1"/>
  <c r="E413" i="1"/>
  <c r="H413" i="1"/>
  <c r="F413" i="1"/>
  <c r="G413" i="1"/>
  <c r="E414" i="1"/>
  <c r="H414" i="1"/>
  <c r="F414" i="1"/>
  <c r="G414" i="1"/>
  <c r="E415" i="1"/>
  <c r="H415" i="1"/>
  <c r="F415" i="1"/>
  <c r="G415" i="1"/>
  <c r="E416" i="1"/>
  <c r="H416" i="1"/>
  <c r="F416" i="1"/>
  <c r="G416" i="1"/>
</calcChain>
</file>

<file path=xl/sharedStrings.xml><?xml version="1.0" encoding="utf-8"?>
<sst xmlns="http://schemas.openxmlformats.org/spreadsheetml/2006/main" count="1836" uniqueCount="256">
  <si>
    <t xml:space="preserve"> </t>
  </si>
  <si>
    <t>CUEROS FRESCOS</t>
  </si>
  <si>
    <t>CUERO NOVILLO</t>
  </si>
  <si>
    <t>en pesos por kg</t>
  </si>
  <si>
    <t>BS.   AS.</t>
  </si>
  <si>
    <t xml:space="preserve">EE.UU (*) </t>
  </si>
  <si>
    <t>SEMANA AL</t>
  </si>
  <si>
    <t>NOVILLOS</t>
  </si>
  <si>
    <t>PROM.VAC</t>
  </si>
  <si>
    <t>LIVIANOS</t>
  </si>
  <si>
    <t>U$S/kg</t>
  </si>
  <si>
    <t>s/datos</t>
  </si>
  <si>
    <t>s/cotiz</t>
  </si>
  <si>
    <t>s/cotz</t>
  </si>
  <si>
    <t>31,12,08</t>
  </si>
  <si>
    <t>09,01,09</t>
  </si>
  <si>
    <t>16,01,09</t>
  </si>
  <si>
    <t>23,01,09</t>
  </si>
  <si>
    <t>30,01,09</t>
  </si>
  <si>
    <t>06,02,09</t>
  </si>
  <si>
    <t>13,02,09</t>
  </si>
  <si>
    <t>20,02,09</t>
  </si>
  <si>
    <t>27,02,09</t>
  </si>
  <si>
    <t>06,03,09</t>
  </si>
  <si>
    <t>13,03,09</t>
  </si>
  <si>
    <t>20,03,09</t>
  </si>
  <si>
    <t>27,03,09</t>
  </si>
  <si>
    <t>03,04,09</t>
  </si>
  <si>
    <t>10,04,09</t>
  </si>
  <si>
    <t>17,04,09</t>
  </si>
  <si>
    <t>24,04,09</t>
  </si>
  <si>
    <t>01,04,09</t>
  </si>
  <si>
    <t>08,05,09</t>
  </si>
  <si>
    <t>15,05,09</t>
  </si>
  <si>
    <t>22,05,09</t>
  </si>
  <si>
    <t>29,05,09</t>
  </si>
  <si>
    <t>05,06,09</t>
  </si>
  <si>
    <t>12,06,09</t>
  </si>
  <si>
    <t>19,06,09</t>
  </si>
  <si>
    <t>26,06,09</t>
  </si>
  <si>
    <t>03,07,09</t>
  </si>
  <si>
    <t>10,07,09</t>
  </si>
  <si>
    <t>17,07,09</t>
  </si>
  <si>
    <t>24,07,09</t>
  </si>
  <si>
    <t>31,07,09</t>
  </si>
  <si>
    <t>07,08,09</t>
  </si>
  <si>
    <t>14,08,09</t>
  </si>
  <si>
    <t>21,08,09</t>
  </si>
  <si>
    <t>28,08,09</t>
  </si>
  <si>
    <t>04,09,09</t>
  </si>
  <si>
    <t>11,09,09</t>
  </si>
  <si>
    <t>18,09,09</t>
  </si>
  <si>
    <t>25,09,09</t>
  </si>
  <si>
    <t>02,10,09</t>
  </si>
  <si>
    <t>09,10,09</t>
  </si>
  <si>
    <t>16,10,09</t>
  </si>
  <si>
    <t>23,10,09</t>
  </si>
  <si>
    <t>30,10,09</t>
  </si>
  <si>
    <t>06,11,09</t>
  </si>
  <si>
    <t>13,11,09</t>
  </si>
  <si>
    <t>20,11,09</t>
  </si>
  <si>
    <t>27,11,09</t>
  </si>
  <si>
    <t>04,12,09</t>
  </si>
  <si>
    <t>11,12,09</t>
  </si>
  <si>
    <t>18,12,09</t>
  </si>
  <si>
    <t>24,12,09</t>
  </si>
  <si>
    <t>30,12,09</t>
  </si>
  <si>
    <t>08,01,10</t>
  </si>
  <si>
    <t>15,01,10</t>
  </si>
  <si>
    <t>22,01,10</t>
  </si>
  <si>
    <t>29,01,10</t>
  </si>
  <si>
    <t>05,02,10</t>
  </si>
  <si>
    <t>12,02,10</t>
  </si>
  <si>
    <t>19,02,10</t>
  </si>
  <si>
    <t>26,02,10</t>
  </si>
  <si>
    <t>05,03,10</t>
  </si>
  <si>
    <t>12,03,10</t>
  </si>
  <si>
    <t>19,03,10</t>
  </si>
  <si>
    <t>26,03,10</t>
  </si>
  <si>
    <t>09,04,10</t>
  </si>
  <si>
    <t>16,04,10</t>
  </si>
  <si>
    <t>23,04,10</t>
  </si>
  <si>
    <t>30,04,10</t>
  </si>
  <si>
    <t>07,05,10</t>
  </si>
  <si>
    <t>14,05,10</t>
  </si>
  <si>
    <t>21,05,10</t>
  </si>
  <si>
    <t>28,05,10</t>
  </si>
  <si>
    <t>04,06,10</t>
  </si>
  <si>
    <t>11,06,10</t>
  </si>
  <si>
    <t>18,06,10</t>
  </si>
  <si>
    <t>25,06,10</t>
  </si>
  <si>
    <t>02,07,10</t>
  </si>
  <si>
    <t>08,07,10</t>
  </si>
  <si>
    <t>16,07,10</t>
  </si>
  <si>
    <t>23,07,10</t>
  </si>
  <si>
    <t>30,07,10</t>
  </si>
  <si>
    <t>06,08,10</t>
  </si>
  <si>
    <t>13,08,10</t>
  </si>
  <si>
    <t>20/08,10</t>
  </si>
  <si>
    <t>27,08,10</t>
  </si>
  <si>
    <t>03,09,10</t>
  </si>
  <si>
    <t>10,09,10</t>
  </si>
  <si>
    <t>17,09,10</t>
  </si>
  <si>
    <t>24,09,10</t>
  </si>
  <si>
    <t>01,10,10</t>
  </si>
  <si>
    <t>08,10,10</t>
  </si>
  <si>
    <t>15,10,10</t>
  </si>
  <si>
    <t>22,10,10</t>
  </si>
  <si>
    <t>29.10.10</t>
  </si>
  <si>
    <t>05,11,10</t>
  </si>
  <si>
    <t>12,11,10</t>
  </si>
  <si>
    <t>19,11,10</t>
  </si>
  <si>
    <t>26,11,10</t>
  </si>
  <si>
    <t>03,12,10</t>
  </si>
  <si>
    <t>10,12,10</t>
  </si>
  <si>
    <t>17,12,10</t>
  </si>
  <si>
    <t>24,12,10</t>
  </si>
  <si>
    <t>29,12,10</t>
  </si>
  <si>
    <t>07,01,11</t>
  </si>
  <si>
    <t>14,01,11</t>
  </si>
  <si>
    <t>21,01,11</t>
  </si>
  <si>
    <t>28,01,11</t>
  </si>
  <si>
    <t>04,02,11</t>
  </si>
  <si>
    <t>11,02,11</t>
  </si>
  <si>
    <t>18,02,11</t>
  </si>
  <si>
    <t>25,02,11</t>
  </si>
  <si>
    <t>04,03,11</t>
  </si>
  <si>
    <t>11,03,11</t>
  </si>
  <si>
    <t>18,03,11</t>
  </si>
  <si>
    <t>23,03,11</t>
  </si>
  <si>
    <t>01,04,11</t>
  </si>
  <si>
    <t>08,04,11</t>
  </si>
  <si>
    <t>15,04,11</t>
  </si>
  <si>
    <t>21,04,11</t>
  </si>
  <si>
    <t>29,04,11</t>
  </si>
  <si>
    <t>06,05,11</t>
  </si>
  <si>
    <t>13,05,11</t>
  </si>
  <si>
    <t>20,05,11</t>
  </si>
  <si>
    <t>27,05,11</t>
  </si>
  <si>
    <t>03,06,11</t>
  </si>
  <si>
    <t>10,06,11</t>
  </si>
  <si>
    <t>17,06,11</t>
  </si>
  <si>
    <t>24,06,11</t>
  </si>
  <si>
    <t>01,07,11</t>
  </si>
  <si>
    <t>08,07,11</t>
  </si>
  <si>
    <t>15,07,11</t>
  </si>
  <si>
    <t>22,07,11</t>
  </si>
  <si>
    <t>29,07,11</t>
  </si>
  <si>
    <t>05,08,11</t>
  </si>
  <si>
    <t>12,08,11</t>
  </si>
  <si>
    <t>19,08,11</t>
  </si>
  <si>
    <t>26,08,11</t>
  </si>
  <si>
    <t>02,09,11</t>
  </si>
  <si>
    <t>09,09,11</t>
  </si>
  <si>
    <t>16,09,11</t>
  </si>
  <si>
    <t>23,09,11</t>
  </si>
  <si>
    <t>30,09,11</t>
  </si>
  <si>
    <t>07,10,11</t>
  </si>
  <si>
    <t>+</t>
  </si>
  <si>
    <t>14,10,11</t>
  </si>
  <si>
    <t>21,10,11</t>
  </si>
  <si>
    <t>28,10,11</t>
  </si>
  <si>
    <t>04,11,11</t>
  </si>
  <si>
    <t>11,11,11</t>
  </si>
  <si>
    <t>18,11,11</t>
  </si>
  <si>
    <t>25,11,11</t>
  </si>
  <si>
    <t>02,12,11</t>
  </si>
  <si>
    <t>07,12,11</t>
  </si>
  <si>
    <t>16,12,11</t>
  </si>
  <si>
    <t>23,12,11</t>
  </si>
  <si>
    <t>30,12,11</t>
  </si>
  <si>
    <t>06,01,12</t>
  </si>
  <si>
    <t>13,01,12</t>
  </si>
  <si>
    <t>20,01,12</t>
  </si>
  <si>
    <t>27,01,12</t>
  </si>
  <si>
    <t>03,02,12</t>
  </si>
  <si>
    <t>10,02,12</t>
  </si>
  <si>
    <t>17,02,12</t>
  </si>
  <si>
    <t>24,02,12</t>
  </si>
  <si>
    <t>02,03,12</t>
  </si>
  <si>
    <t>09,03,12</t>
  </si>
  <si>
    <t>16,03,12</t>
  </si>
  <si>
    <t>23,03,12</t>
  </si>
  <si>
    <t>30,03,12</t>
  </si>
  <si>
    <t>05,04,12</t>
  </si>
  <si>
    <t>13,04,12</t>
  </si>
  <si>
    <t>20,04,12</t>
  </si>
  <si>
    <t>27,04,12</t>
  </si>
  <si>
    <t>04,05,12</t>
  </si>
  <si>
    <t>11,05,12</t>
  </si>
  <si>
    <t>18,05,12</t>
  </si>
  <si>
    <t>24,05,12</t>
  </si>
  <si>
    <t>01,06,12</t>
  </si>
  <si>
    <t>08,06,12</t>
  </si>
  <si>
    <t>15,06,12</t>
  </si>
  <si>
    <t>22,06,12</t>
  </si>
  <si>
    <t>29,06,12</t>
  </si>
  <si>
    <t>06,07,12</t>
  </si>
  <si>
    <t>13,07,12</t>
  </si>
  <si>
    <t>20,07,12</t>
  </si>
  <si>
    <t>27,07,12</t>
  </si>
  <si>
    <t>03,08,12</t>
  </si>
  <si>
    <t>10,08,12</t>
  </si>
  <si>
    <t>17,08,12</t>
  </si>
  <si>
    <t>24,08,12</t>
  </si>
  <si>
    <t>31,08,12</t>
  </si>
  <si>
    <t>07,09,12</t>
  </si>
  <si>
    <t>14,09,12</t>
  </si>
  <si>
    <t>21,09,12</t>
  </si>
  <si>
    <t>28,09,12</t>
  </si>
  <si>
    <t>05,10,12</t>
  </si>
  <si>
    <t>12,10,12</t>
  </si>
  <si>
    <t>19,10,12</t>
  </si>
  <si>
    <t>26,10,12</t>
  </si>
  <si>
    <t>02,11,12</t>
  </si>
  <si>
    <t>09,11,12</t>
  </si>
  <si>
    <t>16,11,12</t>
  </si>
  <si>
    <t>23,11,12</t>
  </si>
  <si>
    <t>30,11,12</t>
  </si>
  <si>
    <t>07,12,12</t>
  </si>
  <si>
    <t>14,12,12</t>
  </si>
  <si>
    <t>21,12,12</t>
  </si>
  <si>
    <t>28,12,12</t>
  </si>
  <si>
    <t>04,01,13</t>
  </si>
  <si>
    <t>11,01,13</t>
  </si>
  <si>
    <t>18,01,13</t>
  </si>
  <si>
    <t>25,01,13</t>
  </si>
  <si>
    <t>01,02,13</t>
  </si>
  <si>
    <t>08,02,13</t>
  </si>
  <si>
    <t>15,02,13</t>
  </si>
  <si>
    <t>22,02,13</t>
  </si>
  <si>
    <t>01,03,13</t>
  </si>
  <si>
    <t>08,03,13</t>
  </si>
  <si>
    <t>15,03,13</t>
  </si>
  <si>
    <t>22,03,13</t>
  </si>
  <si>
    <t>29,03,13</t>
  </si>
  <si>
    <t>05,04,13</t>
  </si>
  <si>
    <t>12,04,13</t>
  </si>
  <si>
    <t>19,04,13</t>
  </si>
  <si>
    <t>26,04,13</t>
  </si>
  <si>
    <t>03,05,13</t>
  </si>
  <si>
    <t>10,05,13</t>
  </si>
  <si>
    <t>17,05,13</t>
  </si>
  <si>
    <t>24,05,13</t>
  </si>
  <si>
    <t>31,05,13</t>
  </si>
  <si>
    <t>07,06,13</t>
  </si>
  <si>
    <t>14,06,13</t>
  </si>
  <si>
    <t>19,06,13</t>
  </si>
  <si>
    <t>s/d</t>
  </si>
  <si>
    <t>s/cot.</t>
  </si>
  <si>
    <t>CUEROS SALADOS (*)</t>
  </si>
  <si>
    <t>(*) Valores Promedio Buenos Aires/ Rosario/ Mendoza y Córdoba / Santa Fe.</t>
  </si>
  <si>
    <t>VACAS</t>
  </si>
  <si>
    <t>Fuente: Estimaciones privadas</t>
  </si>
  <si>
    <t>S/V</t>
  </si>
  <si>
    <t>s/v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</si>
</sst>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00"/>
    <numFmt numFmtId="166" formatCode="dd/mm/yy;@"/>
    <numFmt numFmtId="167" formatCode="_ [$€-2]\ * #,##0.00_ ;_ [$€-2]\ * \-#,##0.00_ ;_ [$€-2]\ * &quot;-&quot;??_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/>
    <xf numFmtId="0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164" fontId="0" fillId="0" borderId="1" xfId="2" applyFont="1" applyFill="1" applyBorder="1" applyAlignment="1">
      <alignment horizontal="right"/>
    </xf>
    <xf numFmtId="0" fontId="2" fillId="2" borderId="1" xfId="0" applyFont="1" applyFill="1" applyBorder="1"/>
    <xf numFmtId="0" fontId="2" fillId="4" borderId="1" xfId="0" applyFont="1" applyFill="1" applyBorder="1"/>
    <xf numFmtId="0" fontId="3" fillId="4" borderId="1" xfId="0" quotePrefix="1" applyFont="1" applyFill="1" applyBorder="1" applyAlignment="1">
      <alignment horizontal="center" vertical="justify"/>
    </xf>
    <xf numFmtId="0" fontId="3" fillId="4" borderId="1" xfId="0" applyFont="1" applyFill="1" applyBorder="1" applyAlignment="1">
      <alignment horizontal="center" vertical="justify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Continuous"/>
    </xf>
    <xf numFmtId="166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164" fontId="0" fillId="4" borderId="1" xfId="2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5" fontId="0" fillId="4" borderId="1" xfId="0" applyNumberFormat="1" applyFill="1" applyBorder="1" applyAlignment="1">
      <alignment horizontal="right"/>
    </xf>
    <xf numFmtId="165" fontId="0" fillId="4" borderId="1" xfId="0" applyNumberFormat="1" applyFill="1" applyBorder="1"/>
    <xf numFmtId="2" fontId="0" fillId="4" borderId="1" xfId="0" applyNumberFormat="1" applyFill="1" applyBorder="1"/>
    <xf numFmtId="0" fontId="0" fillId="4" borderId="1" xfId="0" applyFill="1" applyBorder="1"/>
    <xf numFmtId="0" fontId="0" fillId="4" borderId="1" xfId="0" quotePrefix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6" fontId="0" fillId="5" borderId="1" xfId="0" applyNumberForma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5" fontId="0" fillId="0" borderId="1" xfId="0" applyNumberFormat="1" applyBorder="1"/>
    <xf numFmtId="2" fontId="6" fillId="2" borderId="1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7" fillId="5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14" fontId="6" fillId="5" borderId="1" xfId="0" applyNumberFormat="1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4" fontId="6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14" fontId="6" fillId="9" borderId="1" xfId="0" applyNumberFormat="1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2" fontId="6" fillId="9" borderId="1" xfId="0" applyNumberFormat="1" applyFont="1" applyFill="1" applyBorder="1" applyAlignment="1">
      <alignment horizontal="right"/>
    </xf>
    <xf numFmtId="0" fontId="1" fillId="0" borderId="1" xfId="0" applyFont="1" applyBorder="1"/>
    <xf numFmtId="14" fontId="0" fillId="0" borderId="1" xfId="0" applyNumberFormat="1" applyBorder="1"/>
    <xf numFmtId="0" fontId="6" fillId="9" borderId="1" xfId="0" applyFont="1" applyFill="1" applyBorder="1" applyAlignment="1">
      <alignment horizontal="right"/>
    </xf>
    <xf numFmtId="14" fontId="6" fillId="10" borderId="1" xfId="0" applyNumberFormat="1" applyFont="1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2" fontId="6" fillId="10" borderId="1" xfId="0" applyNumberFormat="1" applyFont="1" applyFill="1" applyBorder="1" applyAlignment="1">
      <alignment horizontal="right"/>
    </xf>
    <xf numFmtId="0" fontId="6" fillId="10" borderId="1" xfId="0" applyFont="1" applyFill="1" applyBorder="1" applyAlignment="1">
      <alignment horizontal="right"/>
    </xf>
    <xf numFmtId="14" fontId="6" fillId="11" borderId="1" xfId="0" applyNumberFormat="1" applyFont="1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2" fontId="6" fillId="11" borderId="1" xfId="0" applyNumberFormat="1" applyFont="1" applyFill="1" applyBorder="1" applyAlignment="1">
      <alignment horizontal="right"/>
    </xf>
    <xf numFmtId="0" fontId="6" fillId="11" borderId="1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4">
    <cellStyle name="Euro" xfId="1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53"/>
  <sheetViews>
    <sheetView tabSelected="1" workbookViewId="0">
      <pane ySplit="5" topLeftCell="A796" activePane="bottomLeft" state="frozen"/>
      <selection pane="bottomLeft" activeCell="M806" sqref="M806"/>
    </sheetView>
  </sheetViews>
  <sheetFormatPr baseColWidth="10" defaultRowHeight="12.75" x14ac:dyDescent="0.2"/>
  <cols>
    <col min="1" max="1" width="11.42578125" style="5"/>
    <col min="2" max="4" width="0" style="5" hidden="1" customWidth="1"/>
    <col min="5" max="7" width="11.42578125" style="5"/>
    <col min="8" max="8" width="12.42578125" style="5" customWidth="1"/>
    <col min="9" max="9" width="11.42578125" style="5"/>
    <col min="10" max="16384" width="11.42578125" style="1"/>
  </cols>
  <sheetData>
    <row r="1" spans="1:9" x14ac:dyDescent="0.2">
      <c r="A1" s="35" t="s">
        <v>253</v>
      </c>
      <c r="B1" s="36"/>
      <c r="C1" s="36"/>
      <c r="D1" s="36"/>
      <c r="E1" s="36"/>
      <c r="F1" s="36"/>
      <c r="G1" s="36"/>
      <c r="H1" s="36"/>
      <c r="I1" s="37"/>
    </row>
    <row r="2" spans="1:9" x14ac:dyDescent="0.2">
      <c r="A2" s="67" t="s">
        <v>251</v>
      </c>
      <c r="B2" s="68"/>
      <c r="C2" s="68"/>
      <c r="D2" s="68"/>
      <c r="E2" s="68"/>
      <c r="F2" s="68"/>
      <c r="G2" s="68"/>
      <c r="H2" s="68"/>
      <c r="I2" s="69"/>
    </row>
    <row r="3" spans="1:9" ht="18" customHeight="1" x14ac:dyDescent="0.2">
      <c r="A3" s="15" t="s">
        <v>0</v>
      </c>
      <c r="B3" s="71" t="s">
        <v>1</v>
      </c>
      <c r="C3" s="71"/>
      <c r="D3" s="71"/>
      <c r="E3" s="71" t="s">
        <v>250</v>
      </c>
      <c r="F3" s="71"/>
      <c r="G3" s="71"/>
      <c r="H3" s="72" t="s">
        <v>2</v>
      </c>
      <c r="I3" s="72"/>
    </row>
    <row r="4" spans="1:9" x14ac:dyDescent="0.2">
      <c r="A4" s="16"/>
      <c r="B4" s="73" t="s">
        <v>3</v>
      </c>
      <c r="C4" s="73"/>
      <c r="D4" s="73"/>
      <c r="E4" s="73" t="s">
        <v>3</v>
      </c>
      <c r="F4" s="73"/>
      <c r="G4" s="73"/>
      <c r="H4" s="17" t="s">
        <v>4</v>
      </c>
      <c r="I4" s="18" t="s">
        <v>5</v>
      </c>
    </row>
    <row r="5" spans="1:9" x14ac:dyDescent="0.2">
      <c r="A5" s="19" t="s">
        <v>6</v>
      </c>
      <c r="B5" s="20" t="s">
        <v>7</v>
      </c>
      <c r="C5" s="20" t="s">
        <v>8</v>
      </c>
      <c r="D5" s="20" t="s">
        <v>9</v>
      </c>
      <c r="E5" s="20" t="s">
        <v>7</v>
      </c>
      <c r="F5" s="20" t="s">
        <v>252</v>
      </c>
      <c r="G5" s="20" t="s">
        <v>9</v>
      </c>
      <c r="H5" s="70" t="s">
        <v>10</v>
      </c>
      <c r="I5" s="70"/>
    </row>
    <row r="6" spans="1:9" x14ac:dyDescent="0.2">
      <c r="A6" s="5" t="s">
        <v>14</v>
      </c>
      <c r="B6" s="6">
        <v>0.9425</v>
      </c>
      <c r="C6" s="6">
        <v>0.37874999999999998</v>
      </c>
      <c r="D6" s="6">
        <v>1.0225</v>
      </c>
      <c r="E6" s="6">
        <v>1.2</v>
      </c>
      <c r="F6" s="6">
        <v>0.48249999999999998</v>
      </c>
      <c r="G6" s="6">
        <v>1.3</v>
      </c>
      <c r="H6" s="6">
        <f>+E6/3.45</f>
        <v>0.34782608695652173</v>
      </c>
      <c r="I6" s="4">
        <v>1.19</v>
      </c>
    </row>
    <row r="7" spans="1:9" x14ac:dyDescent="0.2">
      <c r="A7" s="5" t="s">
        <v>15</v>
      </c>
      <c r="B7" s="6">
        <v>0.76</v>
      </c>
      <c r="C7" s="6">
        <v>0.26</v>
      </c>
      <c r="D7" s="6">
        <v>0.84</v>
      </c>
      <c r="E7" s="6">
        <v>1.05</v>
      </c>
      <c r="F7" s="6">
        <v>0.36</v>
      </c>
      <c r="G7" s="6">
        <v>1.1499999999999999</v>
      </c>
      <c r="H7" s="6">
        <f t="shared" ref="H7:H12" si="0">+E7/3.47</f>
        <v>0.30259365994236309</v>
      </c>
      <c r="I7" s="4">
        <v>1.1499999999999999</v>
      </c>
    </row>
    <row r="8" spans="1:9" x14ac:dyDescent="0.2">
      <c r="A8" s="5" t="s">
        <v>16</v>
      </c>
      <c r="B8" s="6">
        <v>0.69</v>
      </c>
      <c r="C8" s="6">
        <v>0.26</v>
      </c>
      <c r="D8" s="6">
        <v>0.76</v>
      </c>
      <c r="E8" s="6">
        <v>0.95</v>
      </c>
      <c r="F8" s="6">
        <v>0.36</v>
      </c>
      <c r="G8" s="6">
        <v>1.05</v>
      </c>
      <c r="H8" s="6">
        <f t="shared" si="0"/>
        <v>0.2737752161383285</v>
      </c>
      <c r="I8" s="4">
        <v>1.21</v>
      </c>
    </row>
    <row r="9" spans="1:9" x14ac:dyDescent="0.2">
      <c r="A9" s="5" t="s">
        <v>17</v>
      </c>
      <c r="B9" s="6">
        <v>0.69</v>
      </c>
      <c r="C9" s="6">
        <v>0.26</v>
      </c>
      <c r="D9" s="6">
        <v>0.76</v>
      </c>
      <c r="E9" s="6">
        <v>0.95</v>
      </c>
      <c r="F9" s="6">
        <v>0.36</v>
      </c>
      <c r="G9" s="6">
        <v>1.05</v>
      </c>
      <c r="H9" s="6">
        <f t="shared" si="0"/>
        <v>0.2737752161383285</v>
      </c>
      <c r="I9" s="4">
        <v>1.21</v>
      </c>
    </row>
    <row r="10" spans="1:9" x14ac:dyDescent="0.2">
      <c r="A10" s="5" t="s">
        <v>18</v>
      </c>
      <c r="B10" s="6">
        <v>0.69</v>
      </c>
      <c r="C10" s="6">
        <v>0.26</v>
      </c>
      <c r="D10" s="6">
        <v>0.76</v>
      </c>
      <c r="E10" s="6">
        <v>0.69</v>
      </c>
      <c r="F10" s="6">
        <v>0.26</v>
      </c>
      <c r="G10" s="6">
        <v>0.76</v>
      </c>
      <c r="H10" s="6">
        <f t="shared" si="0"/>
        <v>0.19884726224783858</v>
      </c>
      <c r="I10" s="5" t="s">
        <v>13</v>
      </c>
    </row>
    <row r="11" spans="1:9" x14ac:dyDescent="0.2">
      <c r="A11" s="5" t="s">
        <v>19</v>
      </c>
      <c r="B11" s="6">
        <v>0.62</v>
      </c>
      <c r="C11" s="6">
        <v>0.26</v>
      </c>
      <c r="D11" s="6">
        <v>0.69</v>
      </c>
      <c r="E11" s="6">
        <v>0.85</v>
      </c>
      <c r="F11" s="6">
        <v>0.36</v>
      </c>
      <c r="G11" s="6">
        <v>0.95</v>
      </c>
      <c r="H11" s="6">
        <f t="shared" si="0"/>
        <v>0.24495677233429392</v>
      </c>
      <c r="I11" s="5" t="s">
        <v>13</v>
      </c>
    </row>
    <row r="12" spans="1:9" x14ac:dyDescent="0.2">
      <c r="A12" s="5" t="s">
        <v>20</v>
      </c>
      <c r="B12" s="6">
        <v>0.62</v>
      </c>
      <c r="C12" s="6">
        <v>0.26</v>
      </c>
      <c r="D12" s="6">
        <v>0.69</v>
      </c>
      <c r="E12" s="6">
        <v>0.85</v>
      </c>
      <c r="F12" s="6">
        <v>0.36</v>
      </c>
      <c r="G12" s="6">
        <v>0.95</v>
      </c>
      <c r="H12" s="6">
        <f t="shared" si="0"/>
        <v>0.24495677233429392</v>
      </c>
      <c r="I12" s="4">
        <v>1.28</v>
      </c>
    </row>
    <row r="13" spans="1:9" x14ac:dyDescent="0.2">
      <c r="A13" s="5" t="s">
        <v>21</v>
      </c>
      <c r="B13" s="6">
        <v>0.62</v>
      </c>
      <c r="C13" s="6">
        <v>0.26</v>
      </c>
      <c r="D13" s="6">
        <v>0.69</v>
      </c>
      <c r="E13" s="6">
        <v>0.85</v>
      </c>
      <c r="F13" s="6">
        <v>0.36</v>
      </c>
      <c r="G13" s="6">
        <v>0.95</v>
      </c>
      <c r="H13" s="6">
        <f>+E13/3.51</f>
        <v>0.24216524216524218</v>
      </c>
      <c r="I13" s="4">
        <v>1.21</v>
      </c>
    </row>
    <row r="14" spans="1:9" x14ac:dyDescent="0.2">
      <c r="A14" s="5" t="s">
        <v>22</v>
      </c>
      <c r="B14" s="6">
        <v>0.55000000000000004</v>
      </c>
      <c r="C14" s="6">
        <v>0.26</v>
      </c>
      <c r="D14" s="6">
        <v>0.62</v>
      </c>
      <c r="E14" s="6">
        <v>0.75</v>
      </c>
      <c r="F14" s="6">
        <v>0.36</v>
      </c>
      <c r="G14" s="6">
        <v>0.85</v>
      </c>
      <c r="H14" s="6">
        <f>+E14/3.54</f>
        <v>0.21186440677966101</v>
      </c>
      <c r="I14" s="4">
        <v>1.05</v>
      </c>
    </row>
    <row r="15" spans="1:9" x14ac:dyDescent="0.2">
      <c r="A15" s="5" t="s">
        <v>23</v>
      </c>
      <c r="B15" s="6">
        <v>0.55000000000000004</v>
      </c>
      <c r="C15" s="6">
        <v>0.26</v>
      </c>
      <c r="D15" s="6">
        <v>0.62</v>
      </c>
      <c r="E15" s="6">
        <v>0.75</v>
      </c>
      <c r="F15" s="6">
        <v>0.36</v>
      </c>
      <c r="G15" s="6">
        <v>0.85</v>
      </c>
      <c r="H15" s="6">
        <f>+E15/3.54</f>
        <v>0.21186440677966101</v>
      </c>
      <c r="I15" s="4">
        <v>1.17</v>
      </c>
    </row>
    <row r="16" spans="1:9" x14ac:dyDescent="0.2">
      <c r="A16" s="5" t="s">
        <v>24</v>
      </c>
      <c r="B16" s="6">
        <v>0.47</v>
      </c>
      <c r="C16" s="6">
        <v>0.26</v>
      </c>
      <c r="D16" s="6">
        <v>0.55000000000000004</v>
      </c>
      <c r="E16" s="6">
        <v>0.65</v>
      </c>
      <c r="F16" s="6">
        <v>0.36</v>
      </c>
      <c r="G16" s="6">
        <v>0.75</v>
      </c>
      <c r="H16" s="6">
        <f>+E16/3.66</f>
        <v>0.17759562841530055</v>
      </c>
      <c r="I16" s="4">
        <v>1.1200000000000001</v>
      </c>
    </row>
    <row r="17" spans="1:9" x14ac:dyDescent="0.2">
      <c r="A17" s="5" t="s">
        <v>25</v>
      </c>
      <c r="B17" s="6">
        <v>0.44</v>
      </c>
      <c r="C17" s="6">
        <v>0.26</v>
      </c>
      <c r="D17" s="6">
        <v>0.51</v>
      </c>
      <c r="E17" s="6">
        <v>0.6</v>
      </c>
      <c r="F17" s="6">
        <v>0.36</v>
      </c>
      <c r="G17" s="6">
        <v>0.7</v>
      </c>
      <c r="H17" s="6">
        <f>+E17/3.66</f>
        <v>0.16393442622950818</v>
      </c>
      <c r="I17" s="5" t="s">
        <v>13</v>
      </c>
    </row>
    <row r="18" spans="1:9" x14ac:dyDescent="0.2">
      <c r="A18" s="5" t="s">
        <v>26</v>
      </c>
      <c r="B18" s="6">
        <v>0.44</v>
      </c>
      <c r="C18" s="6">
        <v>0.26</v>
      </c>
      <c r="D18" s="6">
        <v>0.51</v>
      </c>
      <c r="E18" s="6">
        <v>0.6</v>
      </c>
      <c r="F18" s="6">
        <v>0.36</v>
      </c>
      <c r="G18" s="6">
        <v>0.7</v>
      </c>
      <c r="H18" s="6">
        <f>+E18/3.7</f>
        <v>0.16216216216216214</v>
      </c>
      <c r="I18" s="4">
        <v>0.94</v>
      </c>
    </row>
    <row r="19" spans="1:9" x14ac:dyDescent="0.2">
      <c r="A19" s="5" t="s">
        <v>27</v>
      </c>
      <c r="B19" s="6">
        <v>0.44</v>
      </c>
      <c r="C19" s="6">
        <v>0.26</v>
      </c>
      <c r="D19" s="6">
        <v>0.51</v>
      </c>
      <c r="E19" s="6">
        <v>0.6</v>
      </c>
      <c r="F19" s="6">
        <v>0.36</v>
      </c>
      <c r="G19" s="6">
        <v>0.7</v>
      </c>
      <c r="H19" s="6">
        <f>+E18/3.7</f>
        <v>0.16216216216216214</v>
      </c>
      <c r="I19" s="4">
        <v>0.93</v>
      </c>
    </row>
    <row r="20" spans="1:9" x14ac:dyDescent="0.2">
      <c r="A20" s="5" t="s">
        <v>28</v>
      </c>
      <c r="B20" s="7" t="s">
        <v>11</v>
      </c>
      <c r="C20" s="7" t="s">
        <v>11</v>
      </c>
      <c r="D20" s="7" t="s">
        <v>11</v>
      </c>
      <c r="E20" s="7" t="s">
        <v>11</v>
      </c>
      <c r="F20" s="7" t="s">
        <v>11</v>
      </c>
      <c r="G20" s="7" t="s">
        <v>11</v>
      </c>
      <c r="H20" s="7" t="s">
        <v>11</v>
      </c>
      <c r="I20" s="7" t="s">
        <v>11</v>
      </c>
    </row>
    <row r="21" spans="1:9" x14ac:dyDescent="0.2">
      <c r="A21" s="5" t="s">
        <v>29</v>
      </c>
      <c r="B21" s="6">
        <v>0.44</v>
      </c>
      <c r="C21" s="6">
        <v>0.26</v>
      </c>
      <c r="D21" s="6">
        <v>0.51</v>
      </c>
      <c r="E21" s="6">
        <v>0.6</v>
      </c>
      <c r="F21" s="6">
        <v>0.36</v>
      </c>
      <c r="G21" s="6">
        <v>0.7</v>
      </c>
      <c r="H21" s="6">
        <f>+E19/3.69</f>
        <v>0.16260162601626016</v>
      </c>
      <c r="I21" s="4">
        <v>0.91</v>
      </c>
    </row>
    <row r="22" spans="1:9" x14ac:dyDescent="0.2">
      <c r="A22" s="5" t="s">
        <v>30</v>
      </c>
      <c r="B22" s="6">
        <v>0.44</v>
      </c>
      <c r="C22" s="6">
        <v>0.26</v>
      </c>
      <c r="D22" s="6">
        <v>0.51</v>
      </c>
      <c r="E22" s="6">
        <v>0.6</v>
      </c>
      <c r="F22" s="6">
        <v>0.36</v>
      </c>
      <c r="G22" s="6">
        <v>0.7</v>
      </c>
      <c r="H22" s="6">
        <f>+E22/3.71</f>
        <v>0.16172506738544473</v>
      </c>
      <c r="I22" s="4">
        <v>0.87</v>
      </c>
    </row>
    <row r="23" spans="1:9" x14ac:dyDescent="0.2">
      <c r="A23" s="5" t="s">
        <v>31</v>
      </c>
      <c r="B23" s="6">
        <v>0.44</v>
      </c>
      <c r="C23" s="6">
        <v>0.26</v>
      </c>
      <c r="D23" s="6">
        <v>0.51</v>
      </c>
      <c r="E23" s="6">
        <v>0.6</v>
      </c>
      <c r="F23" s="6">
        <v>0.36</v>
      </c>
      <c r="G23" s="6">
        <v>0.7</v>
      </c>
      <c r="H23" s="6">
        <f>+E23/3.71</f>
        <v>0.16172506738544473</v>
      </c>
      <c r="I23" s="4">
        <v>0.77</v>
      </c>
    </row>
    <row r="24" spans="1:9" x14ac:dyDescent="0.2">
      <c r="A24" s="5" t="s">
        <v>32</v>
      </c>
      <c r="B24" s="6">
        <v>0.44</v>
      </c>
      <c r="C24" s="6">
        <v>0.26</v>
      </c>
      <c r="D24" s="6">
        <v>0.51</v>
      </c>
      <c r="E24" s="6">
        <v>0.6</v>
      </c>
      <c r="F24" s="6">
        <v>0.36</v>
      </c>
      <c r="G24" s="6">
        <v>0.7</v>
      </c>
      <c r="H24" s="6">
        <f>+E24/3.71</f>
        <v>0.16172506738544473</v>
      </c>
      <c r="I24" s="7" t="s">
        <v>11</v>
      </c>
    </row>
    <row r="25" spans="1:9" x14ac:dyDescent="0.2">
      <c r="A25" s="5" t="s">
        <v>33</v>
      </c>
      <c r="B25" s="6">
        <v>0.44</v>
      </c>
      <c r="C25" s="6">
        <v>0.26</v>
      </c>
      <c r="D25" s="6">
        <v>0.51</v>
      </c>
      <c r="E25" s="6">
        <v>0.6</v>
      </c>
      <c r="F25" s="6">
        <v>0.36</v>
      </c>
      <c r="G25" s="6">
        <v>0.7</v>
      </c>
      <c r="H25" s="6">
        <f>+E25/3.73</f>
        <v>0.16085790884718498</v>
      </c>
      <c r="I25" s="7" t="s">
        <v>11</v>
      </c>
    </row>
    <row r="26" spans="1:9" x14ac:dyDescent="0.2">
      <c r="A26" s="5" t="s">
        <v>34</v>
      </c>
      <c r="B26" s="6">
        <v>0.44</v>
      </c>
      <c r="C26" s="6">
        <v>0.26</v>
      </c>
      <c r="D26" s="6">
        <v>0.69</v>
      </c>
      <c r="E26" s="6">
        <v>0.6</v>
      </c>
      <c r="F26" s="6">
        <v>0.36</v>
      </c>
      <c r="G26" s="6">
        <v>0.95</v>
      </c>
      <c r="H26" s="6">
        <f>+E26/3.74</f>
        <v>0.16042780748663099</v>
      </c>
      <c r="I26" s="5">
        <v>0.89</v>
      </c>
    </row>
    <row r="27" spans="1:9" x14ac:dyDescent="0.2">
      <c r="A27" s="5" t="s">
        <v>35</v>
      </c>
      <c r="B27" s="6">
        <v>0.44</v>
      </c>
      <c r="C27" s="6">
        <v>0.26</v>
      </c>
      <c r="D27" s="6">
        <v>0.69</v>
      </c>
      <c r="E27" s="6">
        <v>0.6</v>
      </c>
      <c r="F27" s="6">
        <v>0.36</v>
      </c>
      <c r="G27" s="6">
        <v>0.95</v>
      </c>
      <c r="H27" s="6">
        <f>+E27/3.74</f>
        <v>0.16042780748663099</v>
      </c>
      <c r="I27" s="5">
        <v>0.89</v>
      </c>
    </row>
    <row r="28" spans="1:9" x14ac:dyDescent="0.2">
      <c r="A28" s="5" t="s">
        <v>36</v>
      </c>
      <c r="B28" s="6">
        <v>0.55000000000000004</v>
      </c>
      <c r="C28" s="6">
        <v>0.3</v>
      </c>
      <c r="D28" s="6">
        <v>0.8</v>
      </c>
      <c r="E28" s="6">
        <v>0.75</v>
      </c>
      <c r="F28" s="6">
        <v>0.41</v>
      </c>
      <c r="G28" s="6">
        <v>1.1000000000000001</v>
      </c>
      <c r="H28" s="6">
        <f>+E28/3.76</f>
        <v>0.199468085106383</v>
      </c>
      <c r="I28" s="5">
        <v>1.1599999999999999</v>
      </c>
    </row>
    <row r="29" spans="1:9" x14ac:dyDescent="0.2">
      <c r="A29" s="5" t="s">
        <v>37</v>
      </c>
      <c r="B29" s="6">
        <v>0.65</v>
      </c>
      <c r="C29" s="6">
        <v>0.32</v>
      </c>
      <c r="D29" s="6">
        <v>1.1000000000000001</v>
      </c>
      <c r="E29" s="6">
        <v>0.8</v>
      </c>
      <c r="F29" s="6">
        <v>0.41</v>
      </c>
      <c r="G29" s="6">
        <v>1.25</v>
      </c>
      <c r="H29" s="6">
        <f>+E29/3.77</f>
        <v>0.21220159151193635</v>
      </c>
      <c r="I29" s="4">
        <v>1.26</v>
      </c>
    </row>
    <row r="30" spans="1:9" x14ac:dyDescent="0.2">
      <c r="A30" s="5" t="s">
        <v>38</v>
      </c>
      <c r="B30" s="6">
        <v>0.66</v>
      </c>
      <c r="C30" s="6">
        <v>0.32</v>
      </c>
      <c r="D30" s="6">
        <v>1.1599999999999999</v>
      </c>
      <c r="E30" s="6">
        <v>0.8</v>
      </c>
      <c r="F30" s="6">
        <v>0.41</v>
      </c>
      <c r="G30" s="6">
        <v>1.25</v>
      </c>
      <c r="H30" s="6">
        <f>+E30/3.78</f>
        <v>0.21164021164021166</v>
      </c>
      <c r="I30" s="4">
        <v>1.29</v>
      </c>
    </row>
    <row r="31" spans="1:9" x14ac:dyDescent="0.2">
      <c r="A31" s="5" t="s">
        <v>39</v>
      </c>
      <c r="B31" s="6">
        <v>0.93</v>
      </c>
      <c r="C31" s="6">
        <v>0.4</v>
      </c>
      <c r="D31" s="6">
        <v>1.79</v>
      </c>
      <c r="E31" s="6">
        <v>1.2</v>
      </c>
      <c r="F31" s="6">
        <v>0.52</v>
      </c>
      <c r="G31" s="6">
        <v>2.31</v>
      </c>
      <c r="H31" s="6">
        <f>+E31/3.79</f>
        <v>0.31662269129287596</v>
      </c>
      <c r="I31" s="5" t="s">
        <v>11</v>
      </c>
    </row>
    <row r="32" spans="1:9" x14ac:dyDescent="0.2">
      <c r="A32" s="5" t="s">
        <v>40</v>
      </c>
      <c r="B32" s="6">
        <v>0.93</v>
      </c>
      <c r="C32" s="6">
        <v>0.4</v>
      </c>
      <c r="D32" s="6">
        <v>1.79</v>
      </c>
      <c r="E32" s="6">
        <v>1.2</v>
      </c>
      <c r="F32" s="6">
        <v>0.52</v>
      </c>
      <c r="G32" s="6">
        <v>2.31</v>
      </c>
      <c r="H32" s="6">
        <f>+E32/3.8</f>
        <v>0.31578947368421051</v>
      </c>
      <c r="I32" s="4">
        <v>1.29</v>
      </c>
    </row>
    <row r="33" spans="1:9" x14ac:dyDescent="0.2">
      <c r="A33" s="5" t="s">
        <v>41</v>
      </c>
      <c r="B33" s="6">
        <v>0.93</v>
      </c>
      <c r="C33" s="6">
        <v>0.4</v>
      </c>
      <c r="D33" s="6">
        <v>1.79</v>
      </c>
      <c r="E33" s="6">
        <v>1.2</v>
      </c>
      <c r="F33" s="6">
        <v>0.52</v>
      </c>
      <c r="G33" s="6">
        <v>2.31</v>
      </c>
      <c r="H33" s="6">
        <f>+E33/3.82</f>
        <v>0.31413612565445026</v>
      </c>
      <c r="I33" s="4">
        <v>1.29</v>
      </c>
    </row>
    <row r="34" spans="1:9" x14ac:dyDescent="0.2">
      <c r="A34" s="5" t="s">
        <v>42</v>
      </c>
      <c r="B34" s="6">
        <v>0.93</v>
      </c>
      <c r="C34" s="6">
        <v>0.4</v>
      </c>
      <c r="D34" s="6">
        <v>1.79</v>
      </c>
      <c r="E34" s="6">
        <v>1.2</v>
      </c>
      <c r="F34" s="6">
        <v>0.52</v>
      </c>
      <c r="G34" s="6">
        <v>2.31</v>
      </c>
      <c r="H34" s="6">
        <f>+E34/3.82</f>
        <v>0.31413612565445026</v>
      </c>
      <c r="I34" s="8">
        <v>1.4</v>
      </c>
    </row>
    <row r="35" spans="1:9" x14ac:dyDescent="0.2">
      <c r="A35" s="5" t="s">
        <v>43</v>
      </c>
      <c r="B35" s="6">
        <v>0.93</v>
      </c>
      <c r="C35" s="6">
        <v>0.4</v>
      </c>
      <c r="D35" s="6">
        <v>1.79</v>
      </c>
      <c r="E35" s="6">
        <v>1.2</v>
      </c>
      <c r="F35" s="6">
        <v>0.52</v>
      </c>
      <c r="G35" s="6">
        <v>2.31</v>
      </c>
      <c r="H35" s="6">
        <f>+E35/3.82</f>
        <v>0.31413612565445026</v>
      </c>
      <c r="I35" s="8">
        <v>1.4</v>
      </c>
    </row>
    <row r="36" spans="1:9" x14ac:dyDescent="0.2">
      <c r="A36" s="5" t="s">
        <v>44</v>
      </c>
      <c r="B36" s="6">
        <v>0.93</v>
      </c>
      <c r="C36" s="6">
        <v>0.4</v>
      </c>
      <c r="D36" s="6">
        <v>1.79</v>
      </c>
      <c r="E36" s="6">
        <v>1.2</v>
      </c>
      <c r="F36" s="6">
        <v>0.52</v>
      </c>
      <c r="G36" s="6">
        <v>2.31</v>
      </c>
      <c r="H36" s="6">
        <f>+E36/3.82</f>
        <v>0.31413612565445026</v>
      </c>
      <c r="I36" s="4">
        <v>1.68</v>
      </c>
    </row>
    <row r="37" spans="1:9" x14ac:dyDescent="0.2">
      <c r="A37" s="5" t="s">
        <v>45</v>
      </c>
      <c r="B37" s="6">
        <v>0.93</v>
      </c>
      <c r="C37" s="6">
        <v>0.4</v>
      </c>
      <c r="D37" s="6">
        <v>1.79</v>
      </c>
      <c r="E37" s="6">
        <v>1.2</v>
      </c>
      <c r="F37" s="6">
        <v>0.52</v>
      </c>
      <c r="G37" s="6">
        <v>2.31</v>
      </c>
      <c r="H37" s="6">
        <f>+E37/3.84</f>
        <v>0.3125</v>
      </c>
      <c r="I37" s="8">
        <v>1.9</v>
      </c>
    </row>
    <row r="38" spans="1:9" x14ac:dyDescent="0.2">
      <c r="A38" s="5" t="s">
        <v>46</v>
      </c>
      <c r="B38" s="6">
        <v>0.93</v>
      </c>
      <c r="C38" s="6">
        <v>0.4</v>
      </c>
      <c r="D38" s="6">
        <v>1.79</v>
      </c>
      <c r="E38" s="6">
        <v>1.2</v>
      </c>
      <c r="F38" s="6">
        <v>0.52</v>
      </c>
      <c r="G38" s="6">
        <v>2.31</v>
      </c>
      <c r="H38" s="6">
        <f>+E38/3.84</f>
        <v>0.3125</v>
      </c>
      <c r="I38" s="8">
        <v>1.89</v>
      </c>
    </row>
    <row r="39" spans="1:9" x14ac:dyDescent="0.2">
      <c r="A39" s="5" t="s">
        <v>47</v>
      </c>
      <c r="B39" s="6">
        <v>0.93</v>
      </c>
      <c r="C39" s="6">
        <v>0.4</v>
      </c>
      <c r="D39" s="6">
        <v>1.79</v>
      </c>
      <c r="E39" s="6">
        <v>1.2</v>
      </c>
      <c r="F39" s="6">
        <v>0.52</v>
      </c>
      <c r="G39" s="6">
        <v>2.31</v>
      </c>
      <c r="H39" s="6">
        <f>+E39/3.85</f>
        <v>0.31168831168831168</v>
      </c>
      <c r="I39" s="8">
        <v>1.99</v>
      </c>
    </row>
    <row r="40" spans="1:9" x14ac:dyDescent="0.2">
      <c r="A40" s="5" t="s">
        <v>48</v>
      </c>
      <c r="B40" s="6">
        <v>0.93</v>
      </c>
      <c r="C40" s="6">
        <v>0.4</v>
      </c>
      <c r="D40" s="6">
        <v>1.79</v>
      </c>
      <c r="E40" s="6">
        <v>1.2</v>
      </c>
      <c r="F40" s="6">
        <v>0.52</v>
      </c>
      <c r="G40" s="6">
        <v>2.31</v>
      </c>
      <c r="H40" s="6">
        <f>+E40/3.86</f>
        <v>0.31088082901554404</v>
      </c>
      <c r="I40" s="4">
        <v>2.09</v>
      </c>
    </row>
    <row r="41" spans="1:9" x14ac:dyDescent="0.2">
      <c r="A41" s="5" t="s">
        <v>49</v>
      </c>
      <c r="B41" s="6">
        <v>0.84</v>
      </c>
      <c r="C41" s="6">
        <v>0.4</v>
      </c>
      <c r="D41" s="6">
        <v>1.72</v>
      </c>
      <c r="E41" s="6">
        <v>1.35</v>
      </c>
      <c r="F41" s="6">
        <v>0.52</v>
      </c>
      <c r="G41" s="6">
        <v>2.21</v>
      </c>
      <c r="H41" s="6">
        <f>+E41/3.86</f>
        <v>0.34974093264248707</v>
      </c>
      <c r="I41" s="8">
        <v>2.0699999999999998</v>
      </c>
    </row>
    <row r="42" spans="1:9" x14ac:dyDescent="0.2">
      <c r="A42" s="5" t="s">
        <v>50</v>
      </c>
      <c r="B42" s="6">
        <v>0.84</v>
      </c>
      <c r="C42" s="6">
        <v>0.4</v>
      </c>
      <c r="D42" s="6">
        <v>1.72</v>
      </c>
      <c r="E42" s="6">
        <v>1.35</v>
      </c>
      <c r="F42" s="6">
        <v>0.52</v>
      </c>
      <c r="G42" s="6">
        <v>2.21</v>
      </c>
      <c r="H42" s="6">
        <f>+E42/3.86</f>
        <v>0.34974093264248707</v>
      </c>
      <c r="I42" s="4">
        <v>2.0299999999999998</v>
      </c>
    </row>
    <row r="43" spans="1:9" x14ac:dyDescent="0.2">
      <c r="A43" s="5" t="s">
        <v>51</v>
      </c>
      <c r="B43" s="6">
        <v>1.3</v>
      </c>
      <c r="C43" s="6">
        <v>0.47</v>
      </c>
      <c r="D43" s="6">
        <v>1.54</v>
      </c>
      <c r="E43" s="6">
        <v>1.7</v>
      </c>
      <c r="F43" s="6">
        <v>0.62</v>
      </c>
      <c r="G43" s="6">
        <v>2.0099999999999998</v>
      </c>
      <c r="H43" s="6">
        <f>+E43/3.86</f>
        <v>0.44041450777202074</v>
      </c>
      <c r="I43" s="4">
        <v>1.89</v>
      </c>
    </row>
    <row r="44" spans="1:9" x14ac:dyDescent="0.2">
      <c r="A44" s="5" t="s">
        <v>52</v>
      </c>
      <c r="B44" s="6">
        <v>1.3</v>
      </c>
      <c r="C44" s="6">
        <v>0.47</v>
      </c>
      <c r="D44" s="6">
        <v>1.54</v>
      </c>
      <c r="E44" s="6">
        <v>1.7</v>
      </c>
      <c r="F44" s="6">
        <v>0.62</v>
      </c>
      <c r="G44" s="6">
        <v>2.0099999999999998</v>
      </c>
      <c r="H44" s="6">
        <f>+E44/3.86</f>
        <v>0.44041450777202074</v>
      </c>
      <c r="I44" s="4">
        <v>1.89</v>
      </c>
    </row>
    <row r="45" spans="1:9" x14ac:dyDescent="0.2">
      <c r="A45" s="9" t="s">
        <v>53</v>
      </c>
      <c r="B45" s="6">
        <v>1.41</v>
      </c>
      <c r="C45" s="6">
        <v>0.62</v>
      </c>
      <c r="D45" s="6">
        <v>1.54</v>
      </c>
      <c r="E45" s="6">
        <v>1.85</v>
      </c>
      <c r="F45" s="6">
        <v>0.81</v>
      </c>
      <c r="G45" s="6">
        <v>2.0099999999999998</v>
      </c>
      <c r="H45" s="6">
        <f>+E45/3.85</f>
        <v>0.48051948051948051</v>
      </c>
      <c r="I45" s="4">
        <v>1.75</v>
      </c>
    </row>
    <row r="46" spans="1:9" x14ac:dyDescent="0.2">
      <c r="A46" s="5" t="s">
        <v>54</v>
      </c>
      <c r="B46" s="6">
        <v>1.41</v>
      </c>
      <c r="C46" s="6">
        <v>0.62</v>
      </c>
      <c r="D46" s="6">
        <v>1.54</v>
      </c>
      <c r="E46" s="6">
        <v>1.85</v>
      </c>
      <c r="F46" s="6">
        <v>0.81</v>
      </c>
      <c r="G46" s="6">
        <v>2.0099999999999998</v>
      </c>
      <c r="H46" s="6">
        <f>+E46/3.85</f>
        <v>0.48051948051948051</v>
      </c>
      <c r="I46" s="4">
        <v>1.71</v>
      </c>
    </row>
    <row r="47" spans="1:9" x14ac:dyDescent="0.2">
      <c r="A47" s="5" t="s">
        <v>55</v>
      </c>
      <c r="B47" s="6">
        <v>1.55</v>
      </c>
      <c r="C47" s="6">
        <v>0.74</v>
      </c>
      <c r="D47" s="6">
        <v>1.56</v>
      </c>
      <c r="E47" s="6">
        <v>2</v>
      </c>
      <c r="F47" s="6">
        <v>0.96</v>
      </c>
      <c r="G47" s="6">
        <v>2.0099999999999998</v>
      </c>
      <c r="H47" s="6">
        <f>+E47/3.84</f>
        <v>0.52083333333333337</v>
      </c>
      <c r="I47" s="4">
        <v>1.71</v>
      </c>
    </row>
    <row r="48" spans="1:9" x14ac:dyDescent="0.2">
      <c r="A48" s="5" t="s">
        <v>56</v>
      </c>
      <c r="B48" s="6">
        <v>1.55</v>
      </c>
      <c r="C48" s="6">
        <v>0.74</v>
      </c>
      <c r="D48" s="6">
        <v>1.56</v>
      </c>
      <c r="E48" s="6">
        <v>2</v>
      </c>
      <c r="F48" s="6">
        <v>0.96</v>
      </c>
      <c r="G48" s="6">
        <v>2.0099999999999998</v>
      </c>
      <c r="H48" s="6">
        <f>+E48/3.84</f>
        <v>0.52083333333333337</v>
      </c>
      <c r="I48" s="4">
        <v>1.71</v>
      </c>
    </row>
    <row r="49" spans="1:9" x14ac:dyDescent="0.2">
      <c r="A49" s="5" t="s">
        <v>57</v>
      </c>
      <c r="B49" s="5" t="s">
        <v>12</v>
      </c>
      <c r="C49" s="5" t="s">
        <v>12</v>
      </c>
      <c r="D49" s="5" t="s">
        <v>12</v>
      </c>
      <c r="E49" s="5" t="s">
        <v>12</v>
      </c>
      <c r="F49" s="5" t="s">
        <v>12</v>
      </c>
      <c r="G49" s="5" t="s">
        <v>12</v>
      </c>
      <c r="H49" s="6"/>
      <c r="I49" s="4">
        <v>1.84</v>
      </c>
    </row>
    <row r="50" spans="1:9" x14ac:dyDescent="0.2">
      <c r="A50" s="10" t="s">
        <v>58</v>
      </c>
      <c r="B50" s="5" t="s">
        <v>12</v>
      </c>
      <c r="C50" s="5" t="s">
        <v>12</v>
      </c>
      <c r="D50" s="5" t="s">
        <v>12</v>
      </c>
      <c r="E50" s="6">
        <v>2.83</v>
      </c>
      <c r="F50" s="6">
        <v>1.5</v>
      </c>
      <c r="G50" s="6">
        <v>2.2999999999999998</v>
      </c>
      <c r="H50" s="6">
        <f>+E50/3.84</f>
        <v>0.73697916666666674</v>
      </c>
      <c r="I50" s="4">
        <v>1.89</v>
      </c>
    </row>
    <row r="51" spans="1:9" x14ac:dyDescent="0.2">
      <c r="A51" s="10" t="s">
        <v>59</v>
      </c>
      <c r="B51" s="5" t="s">
        <v>12</v>
      </c>
      <c r="C51" s="5" t="s">
        <v>12</v>
      </c>
      <c r="D51" s="5" t="s">
        <v>12</v>
      </c>
      <c r="E51" s="6">
        <v>2.83</v>
      </c>
      <c r="F51" s="6">
        <v>1.5</v>
      </c>
      <c r="G51" s="6">
        <f t="shared" ref="G51:G61" si="1">+(2.55+2.05)/2</f>
        <v>2.2999999999999998</v>
      </c>
      <c r="H51" s="6">
        <f>+E51/3.82</f>
        <v>0.74083769633507857</v>
      </c>
      <c r="I51" s="5" t="s">
        <v>13</v>
      </c>
    </row>
    <row r="52" spans="1:9" x14ac:dyDescent="0.2">
      <c r="A52" s="10" t="s">
        <v>60</v>
      </c>
      <c r="B52" s="5" t="s">
        <v>12</v>
      </c>
      <c r="C52" s="5" t="s">
        <v>12</v>
      </c>
      <c r="D52" s="5" t="s">
        <v>12</v>
      </c>
      <c r="E52" s="6">
        <v>2.83</v>
      </c>
      <c r="F52" s="6">
        <v>2.5</v>
      </c>
      <c r="G52" s="6">
        <f t="shared" si="1"/>
        <v>2.2999999999999998</v>
      </c>
      <c r="H52" s="6">
        <f>+E52/3.82</f>
        <v>0.74083769633507857</v>
      </c>
      <c r="I52" s="4">
        <v>2.0699999999999998</v>
      </c>
    </row>
    <row r="53" spans="1:9" x14ac:dyDescent="0.2">
      <c r="A53" s="10" t="s">
        <v>61</v>
      </c>
      <c r="B53" s="5" t="s">
        <v>12</v>
      </c>
      <c r="C53" s="5" t="s">
        <v>12</v>
      </c>
      <c r="D53" s="5" t="s">
        <v>12</v>
      </c>
      <c r="E53" s="6">
        <v>2.83</v>
      </c>
      <c r="F53" s="6">
        <v>2.5</v>
      </c>
      <c r="G53" s="6">
        <f t="shared" si="1"/>
        <v>2.2999999999999998</v>
      </c>
      <c r="H53" s="6">
        <f>+E53/3.81</f>
        <v>0.7427821522309711</v>
      </c>
      <c r="I53" s="8">
        <v>2.1</v>
      </c>
    </row>
    <row r="54" spans="1:9" x14ac:dyDescent="0.2">
      <c r="A54" s="5" t="s">
        <v>62</v>
      </c>
      <c r="B54" s="5" t="s">
        <v>12</v>
      </c>
      <c r="C54" s="5" t="s">
        <v>12</v>
      </c>
      <c r="D54" s="5" t="s">
        <v>12</v>
      </c>
      <c r="E54" s="6">
        <v>2.83</v>
      </c>
      <c r="F54" s="6">
        <v>2.5</v>
      </c>
      <c r="G54" s="6">
        <f t="shared" si="1"/>
        <v>2.2999999999999998</v>
      </c>
      <c r="H54" s="6">
        <f>+E54/3.81</f>
        <v>0.7427821522309711</v>
      </c>
      <c r="I54" s="8">
        <v>2.2000000000000002</v>
      </c>
    </row>
    <row r="55" spans="1:9" x14ac:dyDescent="0.2">
      <c r="A55" s="10" t="s">
        <v>63</v>
      </c>
      <c r="B55" s="5" t="s">
        <v>12</v>
      </c>
      <c r="C55" s="5" t="s">
        <v>12</v>
      </c>
      <c r="D55" s="5" t="s">
        <v>12</v>
      </c>
      <c r="E55" s="6">
        <v>2.83</v>
      </c>
      <c r="F55" s="6">
        <v>2.5</v>
      </c>
      <c r="G55" s="6">
        <f t="shared" si="1"/>
        <v>2.2999999999999998</v>
      </c>
      <c r="H55" s="6">
        <f>+E55/3.8</f>
        <v>0.74473684210526325</v>
      </c>
      <c r="I55" s="8">
        <v>2.2000000000000002</v>
      </c>
    </row>
    <row r="56" spans="1:9" x14ac:dyDescent="0.2">
      <c r="A56" s="5" t="s">
        <v>64</v>
      </c>
      <c r="B56" s="5" t="s">
        <v>12</v>
      </c>
      <c r="C56" s="5" t="s">
        <v>12</v>
      </c>
      <c r="D56" s="5" t="s">
        <v>12</v>
      </c>
      <c r="E56" s="6">
        <v>2.83</v>
      </c>
      <c r="F56" s="6">
        <v>2.5</v>
      </c>
      <c r="G56" s="6">
        <f t="shared" si="1"/>
        <v>2.2999999999999998</v>
      </c>
      <c r="H56" s="6">
        <f>+E56/3.8</f>
        <v>0.74473684210526325</v>
      </c>
      <c r="I56" s="8">
        <v>2.2000000000000002</v>
      </c>
    </row>
    <row r="57" spans="1:9" x14ac:dyDescent="0.2">
      <c r="A57" s="10" t="s">
        <v>65</v>
      </c>
      <c r="B57" s="5" t="s">
        <v>12</v>
      </c>
      <c r="C57" s="5" t="s">
        <v>12</v>
      </c>
      <c r="D57" s="5" t="s">
        <v>12</v>
      </c>
      <c r="E57" s="6">
        <v>2.83</v>
      </c>
      <c r="F57" s="6">
        <v>2.5</v>
      </c>
      <c r="G57" s="6">
        <f t="shared" si="1"/>
        <v>2.2999999999999998</v>
      </c>
      <c r="H57" s="6">
        <f t="shared" ref="H57:H62" si="2">+E57/3.82</f>
        <v>0.74083769633507857</v>
      </c>
      <c r="I57" s="8">
        <v>2.17</v>
      </c>
    </row>
    <row r="58" spans="1:9" x14ac:dyDescent="0.2">
      <c r="A58" s="5" t="s">
        <v>66</v>
      </c>
      <c r="B58" s="5" t="s">
        <v>12</v>
      </c>
      <c r="C58" s="5" t="s">
        <v>12</v>
      </c>
      <c r="D58" s="5" t="s">
        <v>12</v>
      </c>
      <c r="E58" s="6">
        <v>2.83</v>
      </c>
      <c r="F58" s="6">
        <v>2.5</v>
      </c>
      <c r="G58" s="6">
        <f t="shared" si="1"/>
        <v>2.2999999999999998</v>
      </c>
      <c r="H58" s="6">
        <f t="shared" si="2"/>
        <v>0.74083769633507857</v>
      </c>
      <c r="I58" s="8">
        <v>2.2000000000000002</v>
      </c>
    </row>
    <row r="59" spans="1:9" x14ac:dyDescent="0.2">
      <c r="A59" s="27" t="s">
        <v>67</v>
      </c>
      <c r="B59" s="22" t="s">
        <v>12</v>
      </c>
      <c r="C59" s="22" t="s">
        <v>12</v>
      </c>
      <c r="D59" s="22" t="s">
        <v>12</v>
      </c>
      <c r="E59" s="28">
        <v>2.83</v>
      </c>
      <c r="F59" s="28">
        <v>2.5</v>
      </c>
      <c r="G59" s="28">
        <f t="shared" si="1"/>
        <v>2.2999999999999998</v>
      </c>
      <c r="H59" s="28">
        <f t="shared" si="2"/>
        <v>0.74083769633507857</v>
      </c>
      <c r="I59" s="29">
        <v>2.17</v>
      </c>
    </row>
    <row r="60" spans="1:9" x14ac:dyDescent="0.2">
      <c r="A60" s="22" t="s">
        <v>68</v>
      </c>
      <c r="B60" s="22" t="s">
        <v>12</v>
      </c>
      <c r="C60" s="22" t="s">
        <v>12</v>
      </c>
      <c r="D60" s="22" t="s">
        <v>12</v>
      </c>
      <c r="E60" s="28">
        <v>2.83</v>
      </c>
      <c r="F60" s="28">
        <v>2.5</v>
      </c>
      <c r="G60" s="28">
        <f t="shared" si="1"/>
        <v>2.2999999999999998</v>
      </c>
      <c r="H60" s="28">
        <f t="shared" si="2"/>
        <v>0.74083769633507857</v>
      </c>
      <c r="I60" s="30">
        <v>2.2400000000000002</v>
      </c>
    </row>
    <row r="61" spans="1:9" x14ac:dyDescent="0.2">
      <c r="A61" s="27" t="s">
        <v>69</v>
      </c>
      <c r="B61" s="22" t="s">
        <v>12</v>
      </c>
      <c r="C61" s="22" t="s">
        <v>12</v>
      </c>
      <c r="D61" s="22" t="s">
        <v>12</v>
      </c>
      <c r="E61" s="28">
        <v>2.83</v>
      </c>
      <c r="F61" s="28">
        <v>2.5</v>
      </c>
      <c r="G61" s="28">
        <f t="shared" si="1"/>
        <v>2.2999999999999998</v>
      </c>
      <c r="H61" s="28">
        <f t="shared" si="2"/>
        <v>0.74083769633507857</v>
      </c>
      <c r="I61" s="29">
        <v>2.2400000000000002</v>
      </c>
    </row>
    <row r="62" spans="1:9" x14ac:dyDescent="0.2">
      <c r="A62" s="22" t="s">
        <v>70</v>
      </c>
      <c r="B62" s="22" t="s">
        <v>12</v>
      </c>
      <c r="C62" s="22" t="s">
        <v>12</v>
      </c>
      <c r="D62" s="22" t="s">
        <v>12</v>
      </c>
      <c r="E62" s="28">
        <v>3.78</v>
      </c>
      <c r="F62" s="28">
        <v>2.27</v>
      </c>
      <c r="G62" s="28">
        <v>2.95</v>
      </c>
      <c r="H62" s="28">
        <f t="shared" si="2"/>
        <v>0.98952879581151831</v>
      </c>
      <c r="I62" s="30">
        <v>2.33</v>
      </c>
    </row>
    <row r="63" spans="1:9" x14ac:dyDescent="0.2">
      <c r="A63" s="22" t="s">
        <v>71</v>
      </c>
      <c r="B63" s="22" t="s">
        <v>12</v>
      </c>
      <c r="C63" s="22" t="s">
        <v>12</v>
      </c>
      <c r="D63" s="22" t="s">
        <v>12</v>
      </c>
      <c r="E63" s="28">
        <v>3.78</v>
      </c>
      <c r="F63" s="28">
        <v>2.27</v>
      </c>
      <c r="G63" s="28">
        <v>2.95</v>
      </c>
      <c r="H63" s="28">
        <f>+E63/3.82</f>
        <v>0.98952879581151831</v>
      </c>
      <c r="I63" s="29">
        <v>2.2000000000000002</v>
      </c>
    </row>
    <row r="64" spans="1:9" x14ac:dyDescent="0.2">
      <c r="A64" s="22" t="s">
        <v>72</v>
      </c>
      <c r="B64" s="22" t="s">
        <v>12</v>
      </c>
      <c r="C64" s="22" t="s">
        <v>12</v>
      </c>
      <c r="D64" s="22" t="s">
        <v>12</v>
      </c>
      <c r="E64" s="28">
        <v>3.78</v>
      </c>
      <c r="F64" s="28">
        <v>2.27</v>
      </c>
      <c r="G64" s="28">
        <v>2.95</v>
      </c>
      <c r="H64" s="28">
        <f>+E64/3.85</f>
        <v>0.9818181818181817</v>
      </c>
      <c r="I64" s="30">
        <v>2.36</v>
      </c>
    </row>
    <row r="65" spans="1:9" x14ac:dyDescent="0.2">
      <c r="A65" s="22" t="s">
        <v>73</v>
      </c>
      <c r="B65" s="22" t="s">
        <v>12</v>
      </c>
      <c r="C65" s="22" t="s">
        <v>12</v>
      </c>
      <c r="D65" s="22" t="s">
        <v>12</v>
      </c>
      <c r="E65" s="28">
        <v>3.78</v>
      </c>
      <c r="F65" s="28">
        <v>2.27</v>
      </c>
      <c r="G65" s="28">
        <v>2.95</v>
      </c>
      <c r="H65" s="28">
        <f>+E65/3.85</f>
        <v>0.9818181818181817</v>
      </c>
      <c r="I65" s="30">
        <v>2.36</v>
      </c>
    </row>
    <row r="66" spans="1:9" x14ac:dyDescent="0.2">
      <c r="A66" s="22" t="s">
        <v>74</v>
      </c>
      <c r="B66" s="22" t="s">
        <v>12</v>
      </c>
      <c r="C66" s="22" t="s">
        <v>12</v>
      </c>
      <c r="D66" s="22" t="s">
        <v>12</v>
      </c>
      <c r="E66" s="28">
        <v>4.3</v>
      </c>
      <c r="F66" s="28">
        <v>2.97</v>
      </c>
      <c r="G66" s="28">
        <v>3.78</v>
      </c>
      <c r="H66" s="28">
        <f t="shared" ref="H66:H71" si="3">+E66/3.88</f>
        <v>1.1082474226804124</v>
      </c>
      <c r="I66" s="30">
        <v>2.34</v>
      </c>
    </row>
    <row r="67" spans="1:9" x14ac:dyDescent="0.2">
      <c r="A67" s="22" t="s">
        <v>75</v>
      </c>
      <c r="B67" s="22" t="s">
        <v>12</v>
      </c>
      <c r="C67" s="22" t="s">
        <v>12</v>
      </c>
      <c r="D67" s="22" t="s">
        <v>12</v>
      </c>
      <c r="E67" s="28">
        <v>4.9000000000000004</v>
      </c>
      <c r="F67" s="28">
        <v>3.48</v>
      </c>
      <c r="G67" s="28">
        <v>4.2</v>
      </c>
      <c r="H67" s="28">
        <f t="shared" si="3"/>
        <v>1.2628865979381445</v>
      </c>
      <c r="I67" s="30">
        <v>2.27</v>
      </c>
    </row>
    <row r="68" spans="1:9" x14ac:dyDescent="0.2">
      <c r="A68" s="22" t="s">
        <v>76</v>
      </c>
      <c r="B68" s="22" t="s">
        <v>12</v>
      </c>
      <c r="C68" s="22" t="s">
        <v>12</v>
      </c>
      <c r="D68" s="22" t="s">
        <v>12</v>
      </c>
      <c r="E68" s="28">
        <v>4.9000000000000004</v>
      </c>
      <c r="F68" s="28">
        <v>3.48</v>
      </c>
      <c r="G68" s="28">
        <v>4.2</v>
      </c>
      <c r="H68" s="28">
        <f t="shared" si="3"/>
        <v>1.2628865979381445</v>
      </c>
      <c r="I68" s="30">
        <v>2.27</v>
      </c>
    </row>
    <row r="69" spans="1:9" x14ac:dyDescent="0.2">
      <c r="A69" s="22" t="s">
        <v>77</v>
      </c>
      <c r="B69" s="22" t="s">
        <v>12</v>
      </c>
      <c r="C69" s="22" t="s">
        <v>12</v>
      </c>
      <c r="D69" s="22" t="s">
        <v>12</v>
      </c>
      <c r="E69" s="28">
        <v>4.9000000000000004</v>
      </c>
      <c r="F69" s="28">
        <v>3.48</v>
      </c>
      <c r="G69" s="28">
        <v>4.2</v>
      </c>
      <c r="H69" s="28">
        <f t="shared" si="3"/>
        <v>1.2628865979381445</v>
      </c>
      <c r="I69" s="30">
        <v>2.41</v>
      </c>
    </row>
    <row r="70" spans="1:9" x14ac:dyDescent="0.2">
      <c r="A70" s="22" t="s">
        <v>78</v>
      </c>
      <c r="B70" s="22" t="s">
        <v>12</v>
      </c>
      <c r="C70" s="22" t="s">
        <v>12</v>
      </c>
      <c r="D70" s="22" t="s">
        <v>12</v>
      </c>
      <c r="E70" s="28">
        <v>4.9000000000000004</v>
      </c>
      <c r="F70" s="28">
        <v>3.48</v>
      </c>
      <c r="G70" s="28">
        <v>4.2</v>
      </c>
      <c r="H70" s="28">
        <f t="shared" si="3"/>
        <v>1.2628865979381445</v>
      </c>
      <c r="I70" s="22" t="s">
        <v>13</v>
      </c>
    </row>
    <row r="71" spans="1:9" x14ac:dyDescent="0.2">
      <c r="A71" s="22" t="s">
        <v>79</v>
      </c>
      <c r="B71" s="22" t="s">
        <v>12</v>
      </c>
      <c r="C71" s="22" t="s">
        <v>12</v>
      </c>
      <c r="D71" s="22" t="s">
        <v>12</v>
      </c>
      <c r="E71" s="28">
        <v>4.9000000000000004</v>
      </c>
      <c r="F71" s="28">
        <v>3.48</v>
      </c>
      <c r="G71" s="28">
        <v>4.2</v>
      </c>
      <c r="H71" s="28">
        <f t="shared" si="3"/>
        <v>1.2628865979381445</v>
      </c>
      <c r="I71" s="22" t="s">
        <v>13</v>
      </c>
    </row>
    <row r="72" spans="1:9" x14ac:dyDescent="0.2">
      <c r="A72" s="22" t="s">
        <v>80</v>
      </c>
      <c r="B72" s="22" t="s">
        <v>12</v>
      </c>
      <c r="C72" s="22" t="s">
        <v>12</v>
      </c>
      <c r="D72" s="22" t="s">
        <v>12</v>
      </c>
      <c r="E72" s="28">
        <v>4.9000000000000004</v>
      </c>
      <c r="F72" s="28">
        <v>3.48</v>
      </c>
      <c r="G72" s="28">
        <v>4.2</v>
      </c>
      <c r="H72" s="28">
        <f>+E72/3.88</f>
        <v>1.2628865979381445</v>
      </c>
      <c r="I72" s="22" t="s">
        <v>13</v>
      </c>
    </row>
    <row r="73" spans="1:9" x14ac:dyDescent="0.2">
      <c r="A73" s="22" t="s">
        <v>81</v>
      </c>
      <c r="B73" s="22" t="s">
        <v>12</v>
      </c>
      <c r="C73" s="22" t="s">
        <v>12</v>
      </c>
      <c r="D73" s="22" t="s">
        <v>12</v>
      </c>
      <c r="E73" s="28">
        <v>4.9000000000000004</v>
      </c>
      <c r="F73" s="28">
        <v>3.48</v>
      </c>
      <c r="G73" s="28">
        <v>4.3499999999999996</v>
      </c>
      <c r="H73" s="28">
        <f>+E73/3.88</f>
        <v>1.2628865979381445</v>
      </c>
      <c r="I73" s="29">
        <v>2.52</v>
      </c>
    </row>
    <row r="74" spans="1:9" x14ac:dyDescent="0.2">
      <c r="A74" s="22" t="s">
        <v>82</v>
      </c>
      <c r="B74" s="22" t="s">
        <v>12</v>
      </c>
      <c r="C74" s="22" t="s">
        <v>12</v>
      </c>
      <c r="D74" s="22" t="s">
        <v>12</v>
      </c>
      <c r="E74" s="28">
        <f>(5.2+4.6)/2</f>
        <v>4.9000000000000004</v>
      </c>
      <c r="F74" s="28">
        <v>3.48</v>
      </c>
      <c r="G74" s="28">
        <f>+(4.2+4.8)/2</f>
        <v>4.5</v>
      </c>
      <c r="H74" s="28">
        <f>+E74/3.861</f>
        <v>1.2691012691012691</v>
      </c>
      <c r="I74" s="29">
        <v>2.4700000000000002</v>
      </c>
    </row>
    <row r="75" spans="1:9" x14ac:dyDescent="0.2">
      <c r="A75" s="22" t="s">
        <v>83</v>
      </c>
      <c r="B75" s="22" t="s">
        <v>12</v>
      </c>
      <c r="C75" s="22" t="s">
        <v>12</v>
      </c>
      <c r="D75" s="22" t="s">
        <v>12</v>
      </c>
      <c r="E75" s="28">
        <f>(5.2+4.6)/2</f>
        <v>4.9000000000000004</v>
      </c>
      <c r="F75" s="28">
        <v>3.48</v>
      </c>
      <c r="G75" s="28">
        <f>+(4.2+4.8)/2</f>
        <v>4.5</v>
      </c>
      <c r="H75" s="28">
        <f>+E75/3.861</f>
        <v>1.2691012691012691</v>
      </c>
      <c r="I75" s="29">
        <v>2.59</v>
      </c>
    </row>
    <row r="76" spans="1:9" x14ac:dyDescent="0.2">
      <c r="A76" s="22" t="s">
        <v>84</v>
      </c>
      <c r="B76" s="22" t="s">
        <v>12</v>
      </c>
      <c r="C76" s="22" t="s">
        <v>12</v>
      </c>
      <c r="D76" s="22" t="s">
        <v>12</v>
      </c>
      <c r="E76" s="28">
        <f>(5.2+4.6)/2</f>
        <v>4.9000000000000004</v>
      </c>
      <c r="F76" s="28">
        <v>3.48</v>
      </c>
      <c r="G76" s="28">
        <f>+(4.2+4.8)/2</f>
        <v>4.5</v>
      </c>
      <c r="H76" s="28">
        <f>+E76/3.9</f>
        <v>1.2564102564102566</v>
      </c>
      <c r="I76" s="22" t="s">
        <v>13</v>
      </c>
    </row>
    <row r="77" spans="1:9" x14ac:dyDescent="0.2">
      <c r="A77" s="22" t="s">
        <v>85</v>
      </c>
      <c r="B77" s="22" t="s">
        <v>12</v>
      </c>
      <c r="C77" s="22" t="s">
        <v>12</v>
      </c>
      <c r="D77" s="22" t="s">
        <v>12</v>
      </c>
      <c r="E77" s="28">
        <v>4.8</v>
      </c>
      <c r="F77" s="28">
        <v>3.38</v>
      </c>
      <c r="G77" s="28">
        <v>4.3499999999999996</v>
      </c>
      <c r="H77" s="28">
        <f t="shared" ref="H77:H82" si="4">+E77/3.92</f>
        <v>1.2244897959183674</v>
      </c>
      <c r="I77" s="29">
        <v>2.5499999999999998</v>
      </c>
    </row>
    <row r="78" spans="1:9" x14ac:dyDescent="0.2">
      <c r="A78" s="22" t="s">
        <v>86</v>
      </c>
      <c r="B78" s="22" t="s">
        <v>12</v>
      </c>
      <c r="C78" s="22" t="s">
        <v>12</v>
      </c>
      <c r="D78" s="22" t="s">
        <v>12</v>
      </c>
      <c r="E78" s="28">
        <v>4.6500000000000004</v>
      </c>
      <c r="F78" s="28">
        <v>3.23</v>
      </c>
      <c r="G78" s="28">
        <v>4.25</v>
      </c>
      <c r="H78" s="28">
        <f t="shared" si="4"/>
        <v>1.1862244897959184</v>
      </c>
      <c r="I78" s="30">
        <v>2.4900000000000002</v>
      </c>
    </row>
    <row r="79" spans="1:9" x14ac:dyDescent="0.2">
      <c r="A79" s="31" t="s">
        <v>87</v>
      </c>
      <c r="B79" s="22" t="s">
        <v>12</v>
      </c>
      <c r="C79" s="22" t="s">
        <v>12</v>
      </c>
      <c r="D79" s="22" t="s">
        <v>12</v>
      </c>
      <c r="E79" s="28">
        <v>4.6500000000000004</v>
      </c>
      <c r="F79" s="28">
        <v>3.23</v>
      </c>
      <c r="G79" s="28">
        <v>4.25</v>
      </c>
      <c r="H79" s="28">
        <f t="shared" si="4"/>
        <v>1.1862244897959184</v>
      </c>
      <c r="I79" s="29">
        <v>2.4500000000000002</v>
      </c>
    </row>
    <row r="80" spans="1:9" x14ac:dyDescent="0.2">
      <c r="A80" s="22" t="s">
        <v>88</v>
      </c>
      <c r="B80" s="22" t="s">
        <v>12</v>
      </c>
      <c r="C80" s="22" t="s">
        <v>12</v>
      </c>
      <c r="D80" s="22" t="s">
        <v>12</v>
      </c>
      <c r="E80" s="28">
        <v>4.6500000000000004</v>
      </c>
      <c r="F80" s="28">
        <v>3.23</v>
      </c>
      <c r="G80" s="28">
        <v>4.25</v>
      </c>
      <c r="H80" s="28">
        <f t="shared" si="4"/>
        <v>1.1862244897959184</v>
      </c>
      <c r="I80" s="29">
        <v>2.4900000000000002</v>
      </c>
    </row>
    <row r="81" spans="1:9" x14ac:dyDescent="0.2">
      <c r="A81" s="22" t="s">
        <v>89</v>
      </c>
      <c r="B81" s="22" t="s">
        <v>12</v>
      </c>
      <c r="C81" s="22" t="s">
        <v>12</v>
      </c>
      <c r="D81" s="22" t="s">
        <v>12</v>
      </c>
      <c r="E81" s="28">
        <v>4.6500000000000004</v>
      </c>
      <c r="F81" s="28">
        <v>3.23</v>
      </c>
      <c r="G81" s="28">
        <v>4.25</v>
      </c>
      <c r="H81" s="28">
        <f t="shared" si="4"/>
        <v>1.1862244897959184</v>
      </c>
      <c r="I81" s="29">
        <v>2.54</v>
      </c>
    </row>
    <row r="82" spans="1:9" x14ac:dyDescent="0.2">
      <c r="A82" s="22" t="s">
        <v>90</v>
      </c>
      <c r="B82" s="22" t="s">
        <v>12</v>
      </c>
      <c r="C82" s="22" t="s">
        <v>12</v>
      </c>
      <c r="D82" s="22" t="s">
        <v>12</v>
      </c>
      <c r="E82" s="28">
        <v>4.6500000000000004</v>
      </c>
      <c r="F82" s="28">
        <v>3.23</v>
      </c>
      <c r="G82" s="28">
        <v>4.25</v>
      </c>
      <c r="H82" s="28">
        <f t="shared" si="4"/>
        <v>1.1862244897959184</v>
      </c>
      <c r="I82" s="29">
        <v>2.58</v>
      </c>
    </row>
    <row r="83" spans="1:9" x14ac:dyDescent="0.2">
      <c r="A83" s="26" t="s">
        <v>91</v>
      </c>
      <c r="B83" s="22" t="s">
        <v>12</v>
      </c>
      <c r="C83" s="22" t="s">
        <v>12</v>
      </c>
      <c r="D83" s="22" t="s">
        <v>12</v>
      </c>
      <c r="E83" s="28">
        <v>4.6500000000000004</v>
      </c>
      <c r="F83" s="28">
        <v>3.23</v>
      </c>
      <c r="G83" s="28">
        <v>4.25</v>
      </c>
      <c r="H83" s="28">
        <f>+E83/3.92</f>
        <v>1.1862244897959184</v>
      </c>
      <c r="I83" s="22" t="s">
        <v>13</v>
      </c>
    </row>
    <row r="84" spans="1:9" x14ac:dyDescent="0.2">
      <c r="A84" s="22" t="s">
        <v>92</v>
      </c>
      <c r="B84" s="22" t="s">
        <v>12</v>
      </c>
      <c r="C84" s="22" t="s">
        <v>12</v>
      </c>
      <c r="D84" s="22" t="s">
        <v>12</v>
      </c>
      <c r="E84" s="28">
        <v>4.6500000000000004</v>
      </c>
      <c r="F84" s="28">
        <v>3.23</v>
      </c>
      <c r="G84" s="28">
        <v>4.25</v>
      </c>
      <c r="H84" s="28">
        <f>+E84/3.92</f>
        <v>1.1862244897959184</v>
      </c>
      <c r="I84" s="30">
        <v>2.58</v>
      </c>
    </row>
    <row r="85" spans="1:9" x14ac:dyDescent="0.2">
      <c r="A85" s="26" t="s">
        <v>93</v>
      </c>
      <c r="B85" s="22" t="s">
        <v>12</v>
      </c>
      <c r="C85" s="22" t="s">
        <v>12</v>
      </c>
      <c r="D85" s="22" t="s">
        <v>12</v>
      </c>
      <c r="E85" s="28">
        <v>4.6500000000000004</v>
      </c>
      <c r="F85" s="28">
        <v>3.23</v>
      </c>
      <c r="G85" s="28">
        <v>4.25</v>
      </c>
      <c r="H85" s="28">
        <f>+E85/3.92</f>
        <v>1.1862244897959184</v>
      </c>
      <c r="I85" s="30">
        <v>2.69</v>
      </c>
    </row>
    <row r="86" spans="1:9" x14ac:dyDescent="0.2">
      <c r="A86" s="26" t="s">
        <v>94</v>
      </c>
      <c r="B86" s="22" t="s">
        <v>12</v>
      </c>
      <c r="C86" s="22" t="s">
        <v>12</v>
      </c>
      <c r="D86" s="22" t="s">
        <v>12</v>
      </c>
      <c r="E86" s="28">
        <v>4.6500000000000004</v>
      </c>
      <c r="F86" s="28">
        <v>3.23</v>
      </c>
      <c r="G86" s="28">
        <v>4.25</v>
      </c>
      <c r="H86" s="28">
        <f>+E86/3.914</f>
        <v>1.1880429228410834</v>
      </c>
      <c r="I86" s="29">
        <f>(74/63)/0.45436</f>
        <v>2.585181738276201</v>
      </c>
    </row>
    <row r="87" spans="1:9" x14ac:dyDescent="0.2">
      <c r="A87" s="22" t="s">
        <v>95</v>
      </c>
      <c r="B87" s="22" t="s">
        <v>12</v>
      </c>
      <c r="C87" s="22" t="s">
        <v>12</v>
      </c>
      <c r="D87" s="22" t="s">
        <v>12</v>
      </c>
      <c r="E87" s="28">
        <v>4.6500000000000004</v>
      </c>
      <c r="F87" s="28">
        <v>3.23</v>
      </c>
      <c r="G87" s="28">
        <v>4.25</v>
      </c>
      <c r="H87" s="28">
        <f>+E87/3.914</f>
        <v>1.1880429228410834</v>
      </c>
      <c r="I87" s="30">
        <v>2.54</v>
      </c>
    </row>
    <row r="88" spans="1:9" x14ac:dyDescent="0.2">
      <c r="A88" s="22" t="s">
        <v>96</v>
      </c>
      <c r="B88" s="22" t="s">
        <v>12</v>
      </c>
      <c r="C88" s="22" t="s">
        <v>12</v>
      </c>
      <c r="D88" s="22" t="s">
        <v>12</v>
      </c>
      <c r="E88" s="22" t="s">
        <v>12</v>
      </c>
      <c r="F88" s="22" t="s">
        <v>12</v>
      </c>
      <c r="G88" s="22" t="s">
        <v>12</v>
      </c>
      <c r="H88" s="22" t="s">
        <v>12</v>
      </c>
      <c r="I88" s="30">
        <v>2.5499999999999998</v>
      </c>
    </row>
    <row r="89" spans="1:9" x14ac:dyDescent="0.2">
      <c r="A89" s="22" t="s">
        <v>97</v>
      </c>
      <c r="B89" s="22" t="s">
        <v>12</v>
      </c>
      <c r="C89" s="22" t="s">
        <v>12</v>
      </c>
      <c r="D89" s="22" t="s">
        <v>12</v>
      </c>
      <c r="E89" s="22" t="s">
        <v>12</v>
      </c>
      <c r="F89" s="22" t="s">
        <v>12</v>
      </c>
      <c r="G89" s="22" t="s">
        <v>12</v>
      </c>
      <c r="H89" s="22" t="s">
        <v>12</v>
      </c>
      <c r="I89" s="30">
        <v>2.54</v>
      </c>
    </row>
    <row r="90" spans="1:9" x14ac:dyDescent="0.2">
      <c r="A90" s="22" t="s">
        <v>98</v>
      </c>
      <c r="B90" s="22" t="s">
        <v>12</v>
      </c>
      <c r="C90" s="22" t="s">
        <v>12</v>
      </c>
      <c r="D90" s="22" t="s">
        <v>12</v>
      </c>
      <c r="E90" s="22" t="s">
        <v>12</v>
      </c>
      <c r="F90" s="22" t="s">
        <v>12</v>
      </c>
      <c r="G90" s="22" t="s">
        <v>12</v>
      </c>
      <c r="H90" s="22" t="s">
        <v>12</v>
      </c>
      <c r="I90" s="30">
        <v>2.52</v>
      </c>
    </row>
    <row r="91" spans="1:9" x14ac:dyDescent="0.2">
      <c r="A91" s="22" t="s">
        <v>99</v>
      </c>
      <c r="B91" s="22" t="s">
        <v>12</v>
      </c>
      <c r="C91" s="22" t="s">
        <v>12</v>
      </c>
      <c r="D91" s="22" t="s">
        <v>12</v>
      </c>
      <c r="E91" s="22" t="s">
        <v>12</v>
      </c>
      <c r="F91" s="22" t="s">
        <v>12</v>
      </c>
      <c r="G91" s="22" t="s">
        <v>12</v>
      </c>
      <c r="H91" s="22" t="s">
        <v>12</v>
      </c>
      <c r="I91" s="30">
        <v>2.52</v>
      </c>
    </row>
    <row r="92" spans="1:9" x14ac:dyDescent="0.2">
      <c r="A92" s="22" t="s">
        <v>100</v>
      </c>
      <c r="B92" s="22" t="s">
        <v>12</v>
      </c>
      <c r="C92" s="22" t="s">
        <v>12</v>
      </c>
      <c r="D92" s="22" t="s">
        <v>12</v>
      </c>
      <c r="E92" s="22" t="s">
        <v>12</v>
      </c>
      <c r="F92" s="22" t="s">
        <v>12</v>
      </c>
      <c r="G92" s="22" t="s">
        <v>12</v>
      </c>
      <c r="H92" s="22" t="s">
        <v>12</v>
      </c>
      <c r="I92" s="30">
        <v>2.48</v>
      </c>
    </row>
    <row r="93" spans="1:9" x14ac:dyDescent="0.2">
      <c r="A93" s="22" t="s">
        <v>101</v>
      </c>
      <c r="B93" s="22" t="s">
        <v>12</v>
      </c>
      <c r="C93" s="22" t="s">
        <v>12</v>
      </c>
      <c r="D93" s="22" t="s">
        <v>12</v>
      </c>
      <c r="E93" s="23">
        <v>5.3</v>
      </c>
      <c r="F93" s="23">
        <v>4.34</v>
      </c>
      <c r="G93" s="23">
        <v>5.3</v>
      </c>
      <c r="H93" s="28">
        <f>+E93/3.95</f>
        <v>1.341772151898734</v>
      </c>
      <c r="I93" s="30">
        <v>2.48</v>
      </c>
    </row>
    <row r="94" spans="1:9" x14ac:dyDescent="0.2">
      <c r="A94" s="22" t="s">
        <v>102</v>
      </c>
      <c r="B94" s="22" t="s">
        <v>12</v>
      </c>
      <c r="C94" s="22" t="s">
        <v>12</v>
      </c>
      <c r="D94" s="22" t="s">
        <v>12</v>
      </c>
      <c r="E94" s="29">
        <v>5.3</v>
      </c>
      <c r="F94" s="30">
        <v>4.34</v>
      </c>
      <c r="G94" s="29">
        <v>5.3</v>
      </c>
      <c r="H94" s="28">
        <f>+E94/3.95</f>
        <v>1.341772151898734</v>
      </c>
      <c r="I94" s="30">
        <v>2.48</v>
      </c>
    </row>
    <row r="95" spans="1:9" x14ac:dyDescent="0.2">
      <c r="A95" s="22" t="s">
        <v>103</v>
      </c>
      <c r="B95" s="22" t="s">
        <v>12</v>
      </c>
      <c r="C95" s="22" t="s">
        <v>12</v>
      </c>
      <c r="D95" s="22" t="s">
        <v>12</v>
      </c>
      <c r="E95" s="29">
        <v>5.3</v>
      </c>
      <c r="F95" s="30">
        <v>4.34</v>
      </c>
      <c r="G95" s="29">
        <v>5.3</v>
      </c>
      <c r="H95" s="28">
        <f>+E95/3.95</f>
        <v>1.341772151898734</v>
      </c>
      <c r="I95" s="30">
        <v>2.48</v>
      </c>
    </row>
    <row r="96" spans="1:9" x14ac:dyDescent="0.2">
      <c r="A96" s="22" t="s">
        <v>104</v>
      </c>
      <c r="B96" s="22" t="s">
        <v>12</v>
      </c>
      <c r="C96" s="22" t="s">
        <v>12</v>
      </c>
      <c r="D96" s="22" t="s">
        <v>12</v>
      </c>
      <c r="E96" s="29">
        <v>5.3</v>
      </c>
      <c r="F96" s="30">
        <v>4.34</v>
      </c>
      <c r="G96" s="29">
        <v>5.3</v>
      </c>
      <c r="H96" s="28">
        <f>+E96/3.94</f>
        <v>1.3451776649746192</v>
      </c>
      <c r="I96" s="22" t="s">
        <v>13</v>
      </c>
    </row>
    <row r="97" spans="1:9" x14ac:dyDescent="0.2">
      <c r="A97" s="22" t="s">
        <v>105</v>
      </c>
      <c r="B97" s="22" t="s">
        <v>12</v>
      </c>
      <c r="C97" s="22" t="s">
        <v>12</v>
      </c>
      <c r="D97" s="22" t="s">
        <v>12</v>
      </c>
      <c r="E97" s="29">
        <v>5.3</v>
      </c>
      <c r="F97" s="30">
        <v>4.34</v>
      </c>
      <c r="G97" s="29">
        <v>5.3</v>
      </c>
      <c r="H97" s="28">
        <f t="shared" ref="H97:H105" si="5">+E97/3.98</f>
        <v>1.3316582914572863</v>
      </c>
      <c r="I97" s="22">
        <v>2.56</v>
      </c>
    </row>
    <row r="98" spans="1:9" x14ac:dyDescent="0.2">
      <c r="A98" s="22" t="s">
        <v>106</v>
      </c>
      <c r="B98" s="22" t="s">
        <v>12</v>
      </c>
      <c r="C98" s="22" t="s">
        <v>12</v>
      </c>
      <c r="D98" s="22" t="s">
        <v>12</v>
      </c>
      <c r="E98" s="23">
        <v>5.3</v>
      </c>
      <c r="F98" s="22">
        <v>4.34</v>
      </c>
      <c r="G98" s="23">
        <v>5.3</v>
      </c>
      <c r="H98" s="28">
        <f t="shared" si="5"/>
        <v>1.3316582914572863</v>
      </c>
      <c r="I98" s="22">
        <v>2.52</v>
      </c>
    </row>
    <row r="99" spans="1:9" x14ac:dyDescent="0.2">
      <c r="A99" s="22" t="s">
        <v>107</v>
      </c>
      <c r="B99" s="22" t="s">
        <v>12</v>
      </c>
      <c r="C99" s="22" t="s">
        <v>12</v>
      </c>
      <c r="D99" s="22" t="s">
        <v>12</v>
      </c>
      <c r="E99" s="23">
        <v>5.3</v>
      </c>
      <c r="F99" s="22">
        <v>4.34</v>
      </c>
      <c r="G99" s="23">
        <v>5.3</v>
      </c>
      <c r="H99" s="28">
        <f t="shared" si="5"/>
        <v>1.3316582914572863</v>
      </c>
      <c r="I99" s="22">
        <v>2.52</v>
      </c>
    </row>
    <row r="100" spans="1:9" x14ac:dyDescent="0.2">
      <c r="A100" s="22" t="s">
        <v>108</v>
      </c>
      <c r="B100" s="22" t="s">
        <v>12</v>
      </c>
      <c r="C100" s="22" t="s">
        <v>12</v>
      </c>
      <c r="D100" s="22" t="s">
        <v>12</v>
      </c>
      <c r="E100" s="23">
        <v>5.3</v>
      </c>
      <c r="F100" s="22">
        <v>4.34</v>
      </c>
      <c r="G100" s="23">
        <v>5.3</v>
      </c>
      <c r="H100" s="28">
        <f t="shared" si="5"/>
        <v>1.3316582914572863</v>
      </c>
      <c r="I100" s="22">
        <v>2.52</v>
      </c>
    </row>
    <row r="101" spans="1:9" x14ac:dyDescent="0.2">
      <c r="A101" s="22" t="s">
        <v>109</v>
      </c>
      <c r="B101" s="22" t="s">
        <v>12</v>
      </c>
      <c r="C101" s="22" t="s">
        <v>12</v>
      </c>
      <c r="D101" s="22" t="s">
        <v>12</v>
      </c>
      <c r="E101" s="22">
        <v>5.65</v>
      </c>
      <c r="F101" s="22">
        <v>4.68</v>
      </c>
      <c r="G101" s="22">
        <v>5.65</v>
      </c>
      <c r="H101" s="25">
        <f t="shared" si="5"/>
        <v>1.4195979899497488</v>
      </c>
      <c r="I101" s="22">
        <v>2.5099999999999998</v>
      </c>
    </row>
    <row r="102" spans="1:9" x14ac:dyDescent="0.2">
      <c r="A102" s="22" t="s">
        <v>110</v>
      </c>
      <c r="B102" s="22" t="s">
        <v>12</v>
      </c>
      <c r="C102" s="22" t="s">
        <v>12</v>
      </c>
      <c r="D102" s="22" t="s">
        <v>12</v>
      </c>
      <c r="E102" s="22">
        <v>5.65</v>
      </c>
      <c r="F102" s="22">
        <v>4.68</v>
      </c>
      <c r="G102" s="22">
        <v>5.65</v>
      </c>
      <c r="H102" s="25">
        <f t="shared" si="5"/>
        <v>1.4195979899497488</v>
      </c>
      <c r="I102" s="22" t="s">
        <v>11</v>
      </c>
    </row>
    <row r="103" spans="1:9" x14ac:dyDescent="0.2">
      <c r="A103" s="22" t="s">
        <v>111</v>
      </c>
      <c r="B103" s="22" t="s">
        <v>12</v>
      </c>
      <c r="C103" s="22" t="s">
        <v>12</v>
      </c>
      <c r="D103" s="22" t="s">
        <v>12</v>
      </c>
      <c r="E103" s="23">
        <v>6.4</v>
      </c>
      <c r="F103" s="22">
        <v>5.36</v>
      </c>
      <c r="G103" s="23">
        <v>6.4</v>
      </c>
      <c r="H103" s="25">
        <f t="shared" si="5"/>
        <v>1.6080402010050252</v>
      </c>
      <c r="I103" s="23">
        <v>2.5</v>
      </c>
    </row>
    <row r="104" spans="1:9" x14ac:dyDescent="0.2">
      <c r="A104" s="22" t="s">
        <v>112</v>
      </c>
      <c r="B104" s="22" t="s">
        <v>12</v>
      </c>
      <c r="C104" s="22" t="s">
        <v>12</v>
      </c>
      <c r="D104" s="22" t="s">
        <v>12</v>
      </c>
      <c r="E104" s="23">
        <v>6.3</v>
      </c>
      <c r="F104" s="23">
        <v>5.26</v>
      </c>
      <c r="G104" s="23">
        <v>6.3</v>
      </c>
      <c r="H104" s="25">
        <f t="shared" si="5"/>
        <v>1.5829145728643215</v>
      </c>
      <c r="I104" s="23">
        <v>2.5</v>
      </c>
    </row>
    <row r="105" spans="1:9" x14ac:dyDescent="0.2">
      <c r="A105" s="22" t="s">
        <v>113</v>
      </c>
      <c r="B105" s="22" t="s">
        <v>12</v>
      </c>
      <c r="C105" s="22" t="s">
        <v>12</v>
      </c>
      <c r="D105" s="22" t="s">
        <v>12</v>
      </c>
      <c r="E105" s="23">
        <v>6.2</v>
      </c>
      <c r="F105" s="22">
        <v>5.16</v>
      </c>
      <c r="G105" s="23">
        <v>6.2</v>
      </c>
      <c r="H105" s="25">
        <f t="shared" si="5"/>
        <v>1.5577889447236182</v>
      </c>
      <c r="I105" s="22">
        <v>2.59</v>
      </c>
    </row>
    <row r="106" spans="1:9" x14ac:dyDescent="0.2">
      <c r="A106" s="26" t="s">
        <v>114</v>
      </c>
      <c r="B106" s="22" t="s">
        <v>12</v>
      </c>
      <c r="C106" s="22" t="s">
        <v>12</v>
      </c>
      <c r="D106" s="22" t="s">
        <v>12</v>
      </c>
      <c r="E106" s="23">
        <v>6.2</v>
      </c>
      <c r="F106" s="22">
        <v>5.16</v>
      </c>
      <c r="G106" s="23">
        <v>6.2</v>
      </c>
      <c r="H106" s="25">
        <f>+E106/3.958</f>
        <v>1.5664477008590196</v>
      </c>
      <c r="I106" s="22">
        <v>2.56</v>
      </c>
    </row>
    <row r="107" spans="1:9" x14ac:dyDescent="0.2">
      <c r="A107" s="22" t="s">
        <v>115</v>
      </c>
      <c r="B107" s="22" t="s">
        <v>12</v>
      </c>
      <c r="C107" s="22" t="s">
        <v>12</v>
      </c>
      <c r="D107" s="22" t="s">
        <v>12</v>
      </c>
      <c r="E107" s="23">
        <v>6.2</v>
      </c>
      <c r="F107" s="22">
        <v>5.16</v>
      </c>
      <c r="G107" s="23">
        <v>6.2</v>
      </c>
      <c r="H107" s="25">
        <f>+E107/3.958</f>
        <v>1.5664477008590196</v>
      </c>
      <c r="I107" s="22">
        <v>2.5099999999999998</v>
      </c>
    </row>
    <row r="108" spans="1:9" x14ac:dyDescent="0.2">
      <c r="A108" s="22" t="s">
        <v>116</v>
      </c>
      <c r="B108" s="22" t="s">
        <v>12</v>
      </c>
      <c r="C108" s="22" t="s">
        <v>12</v>
      </c>
      <c r="D108" s="22" t="s">
        <v>12</v>
      </c>
      <c r="E108" s="23">
        <v>6.2</v>
      </c>
      <c r="F108" s="22">
        <v>5.16</v>
      </c>
      <c r="G108" s="23">
        <v>6.2</v>
      </c>
      <c r="H108" s="25">
        <f>+E108/3.958</f>
        <v>1.5664477008590196</v>
      </c>
      <c r="I108" s="22">
        <v>2.61</v>
      </c>
    </row>
    <row r="109" spans="1:9" x14ac:dyDescent="0.2">
      <c r="A109" s="22" t="s">
        <v>117</v>
      </c>
      <c r="B109" s="22" t="s">
        <v>12</v>
      </c>
      <c r="C109" s="22" t="s">
        <v>12</v>
      </c>
      <c r="D109" s="22" t="s">
        <v>12</v>
      </c>
      <c r="E109" s="23">
        <v>6.2</v>
      </c>
      <c r="F109" s="22">
        <v>5.16</v>
      </c>
      <c r="G109" s="23">
        <v>6.2</v>
      </c>
      <c r="H109" s="25">
        <f>+E109/3.958</f>
        <v>1.5664477008590196</v>
      </c>
      <c r="I109" s="22">
        <v>2.61</v>
      </c>
    </row>
    <row r="110" spans="1:9" x14ac:dyDescent="0.2">
      <c r="A110" s="5" t="s">
        <v>118</v>
      </c>
      <c r="B110" s="5" t="s">
        <v>12</v>
      </c>
      <c r="C110" s="5" t="s">
        <v>12</v>
      </c>
      <c r="D110" s="5" t="s">
        <v>12</v>
      </c>
      <c r="E110" s="11">
        <v>6.2</v>
      </c>
      <c r="F110" s="5">
        <v>5.16</v>
      </c>
      <c r="G110" s="11">
        <v>6.2</v>
      </c>
      <c r="H110" s="12">
        <f t="shared" ref="H110:H115" si="6">+E110/3.98</f>
        <v>1.5577889447236182</v>
      </c>
      <c r="I110" s="5">
        <v>2.61</v>
      </c>
    </row>
    <row r="111" spans="1:9" x14ac:dyDescent="0.2">
      <c r="A111" s="5" t="s">
        <v>119</v>
      </c>
      <c r="B111" s="5" t="s">
        <v>12</v>
      </c>
      <c r="C111" s="5" t="s">
        <v>12</v>
      </c>
      <c r="D111" s="5" t="s">
        <v>12</v>
      </c>
      <c r="E111" s="11">
        <v>6</v>
      </c>
      <c r="F111" s="5">
        <v>4.97</v>
      </c>
      <c r="G111" s="11">
        <v>6</v>
      </c>
      <c r="H111" s="12">
        <f t="shared" si="6"/>
        <v>1.5075376884422111</v>
      </c>
      <c r="I111" s="5">
        <v>2.61</v>
      </c>
    </row>
    <row r="112" spans="1:9" x14ac:dyDescent="0.2">
      <c r="A112" s="5" t="s">
        <v>120</v>
      </c>
      <c r="B112" s="5" t="s">
        <v>12</v>
      </c>
      <c r="C112" s="5" t="s">
        <v>12</v>
      </c>
      <c r="D112" s="5" t="s">
        <v>12</v>
      </c>
      <c r="E112" s="11">
        <v>6</v>
      </c>
      <c r="F112" s="5">
        <v>4.97</v>
      </c>
      <c r="G112" s="11">
        <v>6</v>
      </c>
      <c r="H112" s="12">
        <f t="shared" si="6"/>
        <v>1.5075376884422111</v>
      </c>
      <c r="I112" s="5">
        <v>2.61</v>
      </c>
    </row>
    <row r="113" spans="1:143" x14ac:dyDescent="0.2">
      <c r="A113" s="5" t="s">
        <v>121</v>
      </c>
      <c r="B113" s="5" t="s">
        <v>12</v>
      </c>
      <c r="C113" s="5" t="s">
        <v>12</v>
      </c>
      <c r="D113" s="5" t="s">
        <v>12</v>
      </c>
      <c r="E113" s="11">
        <v>6</v>
      </c>
      <c r="F113" s="5">
        <v>4.97</v>
      </c>
      <c r="G113" s="11">
        <v>6</v>
      </c>
      <c r="H113" s="12">
        <f t="shared" si="6"/>
        <v>1.5075376884422111</v>
      </c>
      <c r="I113" s="5">
        <v>2.61</v>
      </c>
    </row>
    <row r="114" spans="1:143" x14ac:dyDescent="0.2">
      <c r="A114" s="5" t="s">
        <v>122</v>
      </c>
      <c r="B114" s="5" t="s">
        <v>12</v>
      </c>
      <c r="C114" s="5" t="s">
        <v>12</v>
      </c>
      <c r="D114" s="5" t="s">
        <v>12</v>
      </c>
      <c r="E114" s="11">
        <v>6</v>
      </c>
      <c r="F114" s="5">
        <v>4.97</v>
      </c>
      <c r="G114" s="11">
        <v>6</v>
      </c>
      <c r="H114" s="12">
        <f t="shared" si="6"/>
        <v>1.5075376884422111</v>
      </c>
      <c r="I114" s="5">
        <v>2.68</v>
      </c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143" s="2" customFormat="1" x14ac:dyDescent="0.2">
      <c r="A115" s="5" t="s">
        <v>123</v>
      </c>
      <c r="B115" s="5" t="s">
        <v>12</v>
      </c>
      <c r="C115" s="5" t="s">
        <v>12</v>
      </c>
      <c r="D115" s="5" t="s">
        <v>12</v>
      </c>
      <c r="E115" s="11">
        <v>6</v>
      </c>
      <c r="F115" s="5">
        <v>4.97</v>
      </c>
      <c r="G115" s="11">
        <v>6</v>
      </c>
      <c r="H115" s="12">
        <f t="shared" si="6"/>
        <v>1.5075376884422111</v>
      </c>
      <c r="I115" s="5" t="s">
        <v>13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x14ac:dyDescent="0.2">
      <c r="A116" s="5" t="s">
        <v>124</v>
      </c>
      <c r="B116" s="5" t="s">
        <v>12</v>
      </c>
      <c r="C116" s="5" t="s">
        <v>12</v>
      </c>
      <c r="D116" s="5" t="s">
        <v>12</v>
      </c>
      <c r="E116" s="11">
        <v>6</v>
      </c>
      <c r="F116" s="5">
        <v>4.97</v>
      </c>
      <c r="G116" s="11">
        <v>6</v>
      </c>
      <c r="H116" s="12">
        <f>+E116/3.98</f>
        <v>1.5075376884422111</v>
      </c>
      <c r="I116" s="5">
        <v>2.76</v>
      </c>
      <c r="AB116" s="3"/>
      <c r="AC116" s="3"/>
      <c r="AD116" s="3"/>
      <c r="AE116" s="3"/>
      <c r="AF116" s="3"/>
      <c r="AG116" s="3"/>
      <c r="AH116" s="3"/>
    </row>
    <row r="117" spans="1:143" x14ac:dyDescent="0.2">
      <c r="A117" s="5" t="s">
        <v>125</v>
      </c>
      <c r="B117" s="5" t="s">
        <v>12</v>
      </c>
      <c r="C117" s="5" t="s">
        <v>12</v>
      </c>
      <c r="D117" s="5" t="s">
        <v>12</v>
      </c>
      <c r="E117" s="11">
        <v>6</v>
      </c>
      <c r="F117" s="5">
        <v>4.97</v>
      </c>
      <c r="G117" s="11">
        <v>6</v>
      </c>
      <c r="H117" s="12">
        <f>+E117/3.98</f>
        <v>1.5075376884422111</v>
      </c>
      <c r="I117" s="5">
        <v>2.76</v>
      </c>
    </row>
    <row r="118" spans="1:143" x14ac:dyDescent="0.2">
      <c r="A118" s="5" t="s">
        <v>126</v>
      </c>
      <c r="B118" s="5" t="s">
        <v>12</v>
      </c>
      <c r="C118" s="5" t="s">
        <v>12</v>
      </c>
      <c r="D118" s="5" t="s">
        <v>12</v>
      </c>
      <c r="E118" s="11">
        <v>6</v>
      </c>
      <c r="F118" s="5">
        <v>4.97</v>
      </c>
      <c r="G118" s="11">
        <v>6</v>
      </c>
      <c r="H118" s="12">
        <f>+E118/3.98</f>
        <v>1.5075376884422111</v>
      </c>
      <c r="I118" s="5">
        <v>2.91</v>
      </c>
    </row>
    <row r="119" spans="1:143" x14ac:dyDescent="0.2">
      <c r="A119" s="5" t="s">
        <v>127</v>
      </c>
      <c r="B119" s="5" t="s">
        <v>12</v>
      </c>
      <c r="C119" s="5" t="s">
        <v>12</v>
      </c>
      <c r="D119" s="5" t="s">
        <v>12</v>
      </c>
      <c r="E119" s="11">
        <v>6</v>
      </c>
      <c r="F119" s="5">
        <v>4.97</v>
      </c>
      <c r="G119" s="11">
        <v>6</v>
      </c>
      <c r="H119" s="12">
        <f>+E119/3.98</f>
        <v>1.5075376884422111</v>
      </c>
      <c r="I119" s="5">
        <v>2.91</v>
      </c>
    </row>
    <row r="120" spans="1:143" x14ac:dyDescent="0.2">
      <c r="A120" s="5" t="s">
        <v>128</v>
      </c>
      <c r="B120" s="5" t="s">
        <v>12</v>
      </c>
      <c r="C120" s="5" t="s">
        <v>12</v>
      </c>
      <c r="D120" s="5" t="s">
        <v>12</v>
      </c>
      <c r="E120" s="5">
        <f>+(6.6+5.7)/2</f>
        <v>6.15</v>
      </c>
      <c r="F120" s="11">
        <f>(5.6+5.21+5+4.65)/4</f>
        <v>5.1150000000000002</v>
      </c>
      <c r="G120" s="11">
        <f>+(6.6+5.7)/2</f>
        <v>6.15</v>
      </c>
      <c r="H120" s="12">
        <f>+E120/4</f>
        <v>1.5375000000000001</v>
      </c>
      <c r="I120" s="5" t="s">
        <v>13</v>
      </c>
    </row>
    <row r="121" spans="1:143" x14ac:dyDescent="0.2">
      <c r="A121" s="5" t="s">
        <v>129</v>
      </c>
      <c r="B121" s="5" t="s">
        <v>12</v>
      </c>
      <c r="C121" s="5" t="s">
        <v>12</v>
      </c>
      <c r="D121" s="5" t="s">
        <v>12</v>
      </c>
      <c r="E121" s="5">
        <f>+(6.6+5.7)/2</f>
        <v>6.15</v>
      </c>
      <c r="F121" s="11">
        <f>(5.6+5.21+5+4.65)/4</f>
        <v>5.1150000000000002</v>
      </c>
      <c r="G121" s="11">
        <f>+(6.6+5.7)/2</f>
        <v>6.15</v>
      </c>
      <c r="H121" s="12">
        <f>+E121/4</f>
        <v>1.5375000000000001</v>
      </c>
      <c r="I121" s="5">
        <v>2.95</v>
      </c>
    </row>
    <row r="122" spans="1:143" x14ac:dyDescent="0.2">
      <c r="A122" s="5" t="s">
        <v>130</v>
      </c>
      <c r="B122" s="5" t="s">
        <v>12</v>
      </c>
      <c r="C122" s="5" t="s">
        <v>12</v>
      </c>
      <c r="D122" s="5" t="s">
        <v>12</v>
      </c>
      <c r="E122" s="5">
        <f>+(6.6+5.7)/2</f>
        <v>6.15</v>
      </c>
      <c r="F122" s="11">
        <f>(5.6+5.21+5+4.65)/4</f>
        <v>5.1150000000000002</v>
      </c>
      <c r="G122" s="11">
        <f>+(6.6+5.7)/2</f>
        <v>6.15</v>
      </c>
      <c r="H122" s="12">
        <f>+E122/4</f>
        <v>1.5375000000000001</v>
      </c>
      <c r="I122" s="5">
        <v>2.95</v>
      </c>
    </row>
    <row r="123" spans="1:143" x14ac:dyDescent="0.2">
      <c r="A123" s="5" t="s">
        <v>131</v>
      </c>
      <c r="B123" s="5" t="s">
        <v>12</v>
      </c>
      <c r="C123" s="5" t="s">
        <v>12</v>
      </c>
      <c r="D123" s="5" t="s">
        <v>12</v>
      </c>
      <c r="E123" s="5" t="s">
        <v>12</v>
      </c>
      <c r="F123" s="5" t="s">
        <v>12</v>
      </c>
      <c r="G123" s="5" t="s">
        <v>12</v>
      </c>
      <c r="H123" s="5" t="s">
        <v>12</v>
      </c>
      <c r="I123" s="5">
        <v>2.95</v>
      </c>
    </row>
    <row r="124" spans="1:143" x14ac:dyDescent="0.2">
      <c r="A124" s="9" t="s">
        <v>132</v>
      </c>
      <c r="B124" s="5" t="s">
        <v>12</v>
      </c>
      <c r="C124" s="5" t="s">
        <v>12</v>
      </c>
      <c r="D124" s="5" t="s">
        <v>12</v>
      </c>
      <c r="E124" s="5" t="s">
        <v>12</v>
      </c>
      <c r="F124" s="5" t="s">
        <v>12</v>
      </c>
      <c r="G124" s="5" t="s">
        <v>12</v>
      </c>
      <c r="H124" s="5" t="s">
        <v>12</v>
      </c>
      <c r="I124" s="5">
        <v>3.03</v>
      </c>
    </row>
    <row r="125" spans="1:143" x14ac:dyDescent="0.2">
      <c r="A125" s="5" t="s">
        <v>133</v>
      </c>
      <c r="B125" s="5" t="s">
        <v>12</v>
      </c>
      <c r="C125" s="5" t="s">
        <v>12</v>
      </c>
      <c r="D125" s="5" t="s">
        <v>12</v>
      </c>
      <c r="E125" s="5">
        <v>7.05</v>
      </c>
      <c r="F125" s="5">
        <v>6.03</v>
      </c>
      <c r="G125" s="5">
        <v>7.05</v>
      </c>
      <c r="H125" s="12">
        <f>+E125/4.02</f>
        <v>1.7537313432835822</v>
      </c>
      <c r="I125" s="5">
        <v>3.01</v>
      </c>
    </row>
    <row r="126" spans="1:143" x14ac:dyDescent="0.2">
      <c r="A126" s="5" t="s">
        <v>134</v>
      </c>
      <c r="B126" s="5" t="s">
        <v>12</v>
      </c>
      <c r="C126" s="5" t="s">
        <v>12</v>
      </c>
      <c r="D126" s="5" t="s">
        <v>12</v>
      </c>
      <c r="E126" s="5">
        <v>7.55</v>
      </c>
      <c r="F126" s="5">
        <v>6.51</v>
      </c>
      <c r="G126" s="5">
        <v>7.55</v>
      </c>
      <c r="H126" s="12">
        <f>+E126/4.02</f>
        <v>1.8781094527363185</v>
      </c>
      <c r="I126" s="5">
        <v>3.04</v>
      </c>
    </row>
    <row r="127" spans="1:143" x14ac:dyDescent="0.2">
      <c r="A127" s="5" t="s">
        <v>135</v>
      </c>
      <c r="B127" s="5" t="s">
        <v>12</v>
      </c>
      <c r="C127" s="5" t="s">
        <v>12</v>
      </c>
      <c r="D127" s="5" t="s">
        <v>12</v>
      </c>
      <c r="E127" s="5">
        <v>8.0500000000000007</v>
      </c>
      <c r="F127" s="11">
        <v>7</v>
      </c>
      <c r="G127" s="5">
        <v>8.0500000000000007</v>
      </c>
      <c r="H127" s="12">
        <f>+E127/4.07</f>
        <v>1.9778869778869779</v>
      </c>
      <c r="I127" s="5">
        <v>3.07</v>
      </c>
    </row>
    <row r="128" spans="1:143" x14ac:dyDescent="0.2">
      <c r="A128" s="5" t="s">
        <v>136</v>
      </c>
      <c r="B128" s="5" t="s">
        <v>12</v>
      </c>
      <c r="C128" s="5" t="s">
        <v>12</v>
      </c>
      <c r="D128" s="5" t="s">
        <v>12</v>
      </c>
      <c r="E128" s="5">
        <v>8.0500000000000007</v>
      </c>
      <c r="F128" s="11">
        <v>7</v>
      </c>
      <c r="G128" s="5">
        <v>8.0500000000000007</v>
      </c>
      <c r="H128" s="12">
        <f>+E128/4.07</f>
        <v>1.9778869778869779</v>
      </c>
      <c r="I128" s="5">
        <v>2.94</v>
      </c>
    </row>
    <row r="129" spans="1:9" x14ac:dyDescent="0.2">
      <c r="A129" s="5" t="s">
        <v>137</v>
      </c>
      <c r="B129" s="5" t="s">
        <v>12</v>
      </c>
      <c r="C129" s="5" t="s">
        <v>12</v>
      </c>
      <c r="D129" s="5" t="s">
        <v>12</v>
      </c>
      <c r="E129" s="5">
        <v>8.0500000000000007</v>
      </c>
      <c r="F129" s="11">
        <v>7</v>
      </c>
      <c r="G129" s="5">
        <v>8.0500000000000007</v>
      </c>
      <c r="H129" s="12">
        <f t="shared" ref="H129:H136" si="7">+E129/4.12</f>
        <v>1.9538834951456312</v>
      </c>
      <c r="I129" s="5">
        <v>2.95</v>
      </c>
    </row>
    <row r="130" spans="1:9" x14ac:dyDescent="0.2">
      <c r="A130" s="5" t="s">
        <v>138</v>
      </c>
      <c r="B130" s="5" t="s">
        <v>12</v>
      </c>
      <c r="C130" s="5" t="s">
        <v>12</v>
      </c>
      <c r="D130" s="5" t="s">
        <v>12</v>
      </c>
      <c r="E130" s="5">
        <v>8.0500000000000007</v>
      </c>
      <c r="F130" s="11">
        <v>7</v>
      </c>
      <c r="G130" s="5">
        <v>8.0500000000000007</v>
      </c>
      <c r="H130" s="12">
        <f t="shared" si="7"/>
        <v>1.9538834951456312</v>
      </c>
      <c r="I130" s="5">
        <v>2.94</v>
      </c>
    </row>
    <row r="131" spans="1:9" x14ac:dyDescent="0.2">
      <c r="A131" s="5" t="s">
        <v>139</v>
      </c>
      <c r="B131" s="5" t="s">
        <v>12</v>
      </c>
      <c r="C131" s="5" t="s">
        <v>12</v>
      </c>
      <c r="D131" s="5" t="s">
        <v>12</v>
      </c>
      <c r="E131" s="5">
        <v>8.0500000000000007</v>
      </c>
      <c r="F131" s="11">
        <v>7</v>
      </c>
      <c r="G131" s="5">
        <v>8.0500000000000007</v>
      </c>
      <c r="H131" s="12">
        <f t="shared" si="7"/>
        <v>1.9538834951456312</v>
      </c>
      <c r="I131" s="5">
        <v>2.94</v>
      </c>
    </row>
    <row r="132" spans="1:9" x14ac:dyDescent="0.2">
      <c r="A132" s="5" t="s">
        <v>140</v>
      </c>
      <c r="B132" s="5" t="s">
        <v>12</v>
      </c>
      <c r="C132" s="5" t="s">
        <v>12</v>
      </c>
      <c r="D132" s="5" t="s">
        <v>12</v>
      </c>
      <c r="E132" s="5">
        <v>7.35</v>
      </c>
      <c r="F132" s="5">
        <v>6.32</v>
      </c>
      <c r="G132" s="5">
        <v>7.35</v>
      </c>
      <c r="H132" s="12">
        <f t="shared" si="7"/>
        <v>1.7839805825242716</v>
      </c>
      <c r="I132" s="5">
        <v>2.94</v>
      </c>
    </row>
    <row r="133" spans="1:9" x14ac:dyDescent="0.2">
      <c r="A133" s="5" t="s">
        <v>141</v>
      </c>
      <c r="B133" s="5" t="s">
        <v>12</v>
      </c>
      <c r="C133" s="5" t="s">
        <v>12</v>
      </c>
      <c r="D133" s="5" t="s">
        <v>12</v>
      </c>
      <c r="E133" s="5">
        <v>6.95</v>
      </c>
      <c r="F133" s="5">
        <v>5.94</v>
      </c>
      <c r="G133" s="5">
        <v>6.95</v>
      </c>
      <c r="H133" s="12">
        <f t="shared" si="7"/>
        <v>1.6868932038834952</v>
      </c>
      <c r="I133" s="5">
        <v>2.92</v>
      </c>
    </row>
    <row r="134" spans="1:9" x14ac:dyDescent="0.2">
      <c r="A134" s="5" t="s">
        <v>142</v>
      </c>
      <c r="B134" s="5" t="s">
        <v>12</v>
      </c>
      <c r="C134" s="5" t="s">
        <v>12</v>
      </c>
      <c r="D134" s="5" t="s">
        <v>12</v>
      </c>
      <c r="E134" s="5">
        <v>6.72</v>
      </c>
      <c r="F134" s="5">
        <v>6.06</v>
      </c>
      <c r="G134" s="5">
        <v>6.42</v>
      </c>
      <c r="H134" s="12">
        <f t="shared" si="7"/>
        <v>1.6310679611650485</v>
      </c>
      <c r="I134" s="5">
        <v>2.92</v>
      </c>
    </row>
    <row r="135" spans="1:9" x14ac:dyDescent="0.2">
      <c r="A135" s="5" t="s">
        <v>143</v>
      </c>
      <c r="B135" s="5" t="s">
        <v>12</v>
      </c>
      <c r="C135" s="5" t="s">
        <v>12</v>
      </c>
      <c r="D135" s="5" t="s">
        <v>12</v>
      </c>
      <c r="E135" s="11">
        <v>6.35</v>
      </c>
      <c r="F135" s="5">
        <v>5.35</v>
      </c>
      <c r="G135" s="5">
        <v>6.35</v>
      </c>
      <c r="H135" s="12">
        <f t="shared" si="7"/>
        <v>1.54126213592233</v>
      </c>
      <c r="I135" s="5">
        <v>2.92</v>
      </c>
    </row>
    <row r="136" spans="1:9" x14ac:dyDescent="0.2">
      <c r="A136" s="5" t="s">
        <v>144</v>
      </c>
      <c r="B136" s="5" t="s">
        <v>12</v>
      </c>
      <c r="C136" s="5" t="s">
        <v>12</v>
      </c>
      <c r="D136" s="5" t="s">
        <v>12</v>
      </c>
      <c r="E136" s="5">
        <v>6.35</v>
      </c>
      <c r="F136" s="5">
        <v>5.35</v>
      </c>
      <c r="G136" s="5">
        <v>6.35</v>
      </c>
      <c r="H136" s="12">
        <f t="shared" si="7"/>
        <v>1.54126213592233</v>
      </c>
      <c r="I136" s="5">
        <v>2.94</v>
      </c>
    </row>
    <row r="137" spans="1:9" x14ac:dyDescent="0.2">
      <c r="A137" s="5" t="s">
        <v>145</v>
      </c>
      <c r="B137" s="5" t="s">
        <v>12</v>
      </c>
      <c r="C137" s="5" t="s">
        <v>12</v>
      </c>
      <c r="D137" s="5" t="s">
        <v>12</v>
      </c>
      <c r="E137" s="5">
        <v>6.25</v>
      </c>
      <c r="F137" s="5">
        <v>5.26</v>
      </c>
      <c r="G137" s="5">
        <v>6.35</v>
      </c>
      <c r="H137" s="12">
        <f>+E137/4.15</f>
        <v>1.506024096385542</v>
      </c>
      <c r="I137" s="5">
        <v>3.13</v>
      </c>
    </row>
    <row r="138" spans="1:9" x14ac:dyDescent="0.2">
      <c r="A138" s="5" t="s">
        <v>146</v>
      </c>
      <c r="B138" s="5" t="s">
        <v>12</v>
      </c>
      <c r="C138" s="5" t="s">
        <v>12</v>
      </c>
      <c r="D138" s="5" t="s">
        <v>12</v>
      </c>
      <c r="E138" s="5">
        <v>6.25</v>
      </c>
      <c r="F138" s="5">
        <v>5.26</v>
      </c>
      <c r="G138" s="5">
        <v>6.35</v>
      </c>
      <c r="H138" s="12">
        <f>+E138/4.15</f>
        <v>1.506024096385542</v>
      </c>
      <c r="I138" s="5">
        <v>2.97</v>
      </c>
    </row>
    <row r="139" spans="1:9" x14ac:dyDescent="0.2">
      <c r="A139" s="5" t="s">
        <v>147</v>
      </c>
      <c r="B139" s="5" t="s">
        <v>12</v>
      </c>
      <c r="C139" s="5" t="s">
        <v>12</v>
      </c>
      <c r="D139" s="5" t="s">
        <v>12</v>
      </c>
      <c r="E139" s="5">
        <v>6.25</v>
      </c>
      <c r="F139" s="5">
        <v>5.26</v>
      </c>
      <c r="G139" s="5">
        <v>6.35</v>
      </c>
      <c r="H139" s="12">
        <f>+E139/4.15</f>
        <v>1.506024096385542</v>
      </c>
      <c r="I139" s="5">
        <v>2.97</v>
      </c>
    </row>
    <row r="140" spans="1:9" x14ac:dyDescent="0.2">
      <c r="A140" s="5" t="s">
        <v>148</v>
      </c>
      <c r="B140" s="5" t="s">
        <v>12</v>
      </c>
      <c r="C140" s="5" t="s">
        <v>12</v>
      </c>
      <c r="D140" s="5" t="s">
        <v>12</v>
      </c>
      <c r="E140" s="5">
        <v>6.25</v>
      </c>
      <c r="F140" s="5">
        <v>5.26</v>
      </c>
      <c r="G140" s="5">
        <v>6.35</v>
      </c>
      <c r="H140" s="12">
        <f>+E140/4.15</f>
        <v>1.506024096385542</v>
      </c>
      <c r="I140" s="5">
        <v>2.99</v>
      </c>
    </row>
    <row r="141" spans="1:9" x14ac:dyDescent="0.2">
      <c r="A141" s="5" t="s">
        <v>149</v>
      </c>
      <c r="B141" s="5" t="s">
        <v>12</v>
      </c>
      <c r="C141" s="5" t="s">
        <v>12</v>
      </c>
      <c r="D141" s="5" t="s">
        <v>12</v>
      </c>
      <c r="E141" s="5">
        <v>6.25</v>
      </c>
      <c r="F141" s="5">
        <v>5.26</v>
      </c>
      <c r="G141" s="5">
        <v>6.35</v>
      </c>
      <c r="H141" s="12">
        <f>+E141/4.15</f>
        <v>1.506024096385542</v>
      </c>
      <c r="I141" s="5" t="s">
        <v>13</v>
      </c>
    </row>
    <row r="142" spans="1:9" x14ac:dyDescent="0.2">
      <c r="A142" s="5" t="s">
        <v>150</v>
      </c>
      <c r="B142" s="5" t="s">
        <v>12</v>
      </c>
      <c r="C142" s="5" t="s">
        <v>12</v>
      </c>
      <c r="D142" s="5" t="s">
        <v>12</v>
      </c>
      <c r="E142" s="5">
        <v>6.25</v>
      </c>
      <c r="F142" s="5">
        <v>5.26</v>
      </c>
      <c r="G142" s="5">
        <v>6.35</v>
      </c>
      <c r="H142" s="12">
        <f>+E142/4.2</f>
        <v>1.4880952380952381</v>
      </c>
      <c r="I142" s="5">
        <v>2.96</v>
      </c>
    </row>
    <row r="143" spans="1:9" x14ac:dyDescent="0.2">
      <c r="A143" s="5" t="s">
        <v>151</v>
      </c>
      <c r="B143" s="5" t="s">
        <v>12</v>
      </c>
      <c r="C143" s="5" t="s">
        <v>12</v>
      </c>
      <c r="D143" s="5" t="s">
        <v>12</v>
      </c>
      <c r="E143" s="5">
        <v>6.25</v>
      </c>
      <c r="F143" s="5">
        <v>5.26</v>
      </c>
      <c r="G143" s="5">
        <v>6.35</v>
      </c>
      <c r="H143" s="12">
        <f>+E143/4.2</f>
        <v>1.4880952380952381</v>
      </c>
      <c r="I143" s="5">
        <v>2.89</v>
      </c>
    </row>
    <row r="144" spans="1:9" x14ac:dyDescent="0.2">
      <c r="A144" s="5" t="s">
        <v>152</v>
      </c>
      <c r="B144" s="5" t="s">
        <v>12</v>
      </c>
      <c r="C144" s="5" t="s">
        <v>12</v>
      </c>
      <c r="D144" s="5" t="s">
        <v>12</v>
      </c>
      <c r="E144" s="5">
        <v>6.25</v>
      </c>
      <c r="F144" s="5">
        <v>5.26</v>
      </c>
      <c r="G144" s="5">
        <v>6.35</v>
      </c>
      <c r="H144" s="12">
        <f>+E144/4.2</f>
        <v>1.4880952380952381</v>
      </c>
      <c r="I144" s="5">
        <v>2.94</v>
      </c>
    </row>
    <row r="145" spans="1:11" x14ac:dyDescent="0.2">
      <c r="A145" s="5" t="s">
        <v>153</v>
      </c>
      <c r="B145" s="5" t="s">
        <v>12</v>
      </c>
      <c r="C145" s="5" t="s">
        <v>12</v>
      </c>
      <c r="D145" s="5" t="s">
        <v>12</v>
      </c>
      <c r="E145" s="5">
        <v>6.25</v>
      </c>
      <c r="F145" s="5">
        <v>5.26</v>
      </c>
      <c r="G145" s="5">
        <v>6.35</v>
      </c>
      <c r="H145" s="12">
        <f t="shared" ref="H145:H158" si="8">+E145/4.2</f>
        <v>1.4880952380952381</v>
      </c>
      <c r="I145" s="5">
        <v>2.94</v>
      </c>
    </row>
    <row r="146" spans="1:11" x14ac:dyDescent="0.2">
      <c r="A146" s="5" t="s">
        <v>154</v>
      </c>
      <c r="B146" s="5" t="s">
        <v>12</v>
      </c>
      <c r="C146" s="5" t="s">
        <v>12</v>
      </c>
      <c r="D146" s="5" t="s">
        <v>12</v>
      </c>
      <c r="E146" s="5">
        <v>6.25</v>
      </c>
      <c r="F146" s="5">
        <v>5.26</v>
      </c>
      <c r="G146" s="5">
        <v>6.35</v>
      </c>
      <c r="H146" s="12">
        <f t="shared" si="8"/>
        <v>1.4880952380952381</v>
      </c>
      <c r="I146" s="5">
        <v>2.87</v>
      </c>
    </row>
    <row r="147" spans="1:11" x14ac:dyDescent="0.2">
      <c r="A147" s="5" t="s">
        <v>155</v>
      </c>
      <c r="B147" s="5" t="s">
        <v>12</v>
      </c>
      <c r="C147" s="5" t="s">
        <v>12</v>
      </c>
      <c r="D147" s="5" t="s">
        <v>12</v>
      </c>
      <c r="E147" s="5">
        <v>6.25</v>
      </c>
      <c r="F147" s="5">
        <v>5.26</v>
      </c>
      <c r="G147" s="5">
        <v>6.35</v>
      </c>
      <c r="H147" s="12">
        <f t="shared" si="8"/>
        <v>1.4880952380952381</v>
      </c>
      <c r="I147" s="5">
        <v>2.89</v>
      </c>
    </row>
    <row r="148" spans="1:11" x14ac:dyDescent="0.2">
      <c r="A148" s="5" t="s">
        <v>156</v>
      </c>
      <c r="B148" s="5" t="s">
        <v>12</v>
      </c>
      <c r="C148" s="5" t="s">
        <v>12</v>
      </c>
      <c r="D148" s="5" t="s">
        <v>12</v>
      </c>
      <c r="E148" s="5">
        <v>6.25</v>
      </c>
      <c r="F148" s="5">
        <v>5.26</v>
      </c>
      <c r="G148" s="5">
        <v>6.35</v>
      </c>
      <c r="H148" s="12">
        <f t="shared" si="8"/>
        <v>1.4880952380952381</v>
      </c>
      <c r="I148" s="5">
        <v>2.89</v>
      </c>
      <c r="K148" s="1" t="s">
        <v>158</v>
      </c>
    </row>
    <row r="149" spans="1:11" x14ac:dyDescent="0.2">
      <c r="A149" s="5" t="s">
        <v>157</v>
      </c>
      <c r="B149" s="5" t="s">
        <v>12</v>
      </c>
      <c r="C149" s="5" t="s">
        <v>12</v>
      </c>
      <c r="D149" s="5" t="s">
        <v>12</v>
      </c>
      <c r="E149" s="5" t="s">
        <v>12</v>
      </c>
      <c r="F149" s="5" t="s">
        <v>12</v>
      </c>
      <c r="G149" s="5" t="s">
        <v>12</v>
      </c>
      <c r="H149" s="5" t="s">
        <v>12</v>
      </c>
      <c r="I149" s="5">
        <v>2.71</v>
      </c>
    </row>
    <row r="150" spans="1:11" x14ac:dyDescent="0.2">
      <c r="A150" s="5" t="s">
        <v>159</v>
      </c>
      <c r="B150" s="5" t="s">
        <v>12</v>
      </c>
      <c r="C150" s="5" t="s">
        <v>12</v>
      </c>
      <c r="D150" s="5" t="s">
        <v>12</v>
      </c>
      <c r="E150" s="5" t="s">
        <v>12</v>
      </c>
      <c r="F150" s="5" t="s">
        <v>12</v>
      </c>
      <c r="G150" s="5" t="s">
        <v>12</v>
      </c>
      <c r="H150" s="5" t="s">
        <v>12</v>
      </c>
      <c r="I150" s="11">
        <v>2.8</v>
      </c>
    </row>
    <row r="151" spans="1:11" x14ac:dyDescent="0.2">
      <c r="A151" s="5" t="s">
        <v>160</v>
      </c>
      <c r="B151" s="5" t="s">
        <v>12</v>
      </c>
      <c r="C151" s="5" t="s">
        <v>12</v>
      </c>
      <c r="D151" s="5" t="s">
        <v>12</v>
      </c>
      <c r="E151" s="5" t="s">
        <v>12</v>
      </c>
      <c r="F151" s="5" t="s">
        <v>12</v>
      </c>
      <c r="G151" s="5" t="s">
        <v>12</v>
      </c>
      <c r="H151" s="5" t="s">
        <v>12</v>
      </c>
      <c r="I151" s="5">
        <v>2.71</v>
      </c>
    </row>
    <row r="152" spans="1:11" x14ac:dyDescent="0.2">
      <c r="A152" s="5" t="s">
        <v>161</v>
      </c>
      <c r="B152" s="5" t="s">
        <v>12</v>
      </c>
      <c r="C152" s="5" t="s">
        <v>12</v>
      </c>
      <c r="D152" s="5" t="s">
        <v>12</v>
      </c>
      <c r="E152" s="5" t="s">
        <v>12</v>
      </c>
      <c r="F152" s="5" t="s">
        <v>12</v>
      </c>
      <c r="G152" s="5" t="s">
        <v>12</v>
      </c>
      <c r="H152" s="5" t="s">
        <v>12</v>
      </c>
      <c r="I152" s="5">
        <v>2.76</v>
      </c>
    </row>
    <row r="153" spans="1:11" x14ac:dyDescent="0.2">
      <c r="A153" s="5" t="s">
        <v>162</v>
      </c>
      <c r="B153" s="5" t="s">
        <v>12</v>
      </c>
      <c r="C153" s="5" t="s">
        <v>12</v>
      </c>
      <c r="D153" s="5" t="s">
        <v>12</v>
      </c>
      <c r="E153" s="5" t="s">
        <v>12</v>
      </c>
      <c r="F153" s="5" t="s">
        <v>12</v>
      </c>
      <c r="G153" s="5" t="s">
        <v>12</v>
      </c>
      <c r="H153" s="5" t="s">
        <v>12</v>
      </c>
      <c r="I153" s="5" t="s">
        <v>13</v>
      </c>
    </row>
    <row r="154" spans="1:11" x14ac:dyDescent="0.2">
      <c r="A154" s="5" t="s">
        <v>163</v>
      </c>
      <c r="B154" s="5" t="s">
        <v>12</v>
      </c>
      <c r="C154" s="5" t="s">
        <v>12</v>
      </c>
      <c r="D154" s="5" t="s">
        <v>12</v>
      </c>
      <c r="E154" s="5" t="s">
        <v>12</v>
      </c>
      <c r="F154" s="5" t="s">
        <v>12</v>
      </c>
      <c r="G154" s="5" t="s">
        <v>12</v>
      </c>
      <c r="H154" s="5" t="s">
        <v>12</v>
      </c>
      <c r="I154" s="5" t="s">
        <v>13</v>
      </c>
    </row>
    <row r="155" spans="1:11" x14ac:dyDescent="0.2">
      <c r="A155" s="5" t="s">
        <v>164</v>
      </c>
      <c r="B155" s="5" t="s">
        <v>12</v>
      </c>
      <c r="C155" s="5" t="s">
        <v>12</v>
      </c>
      <c r="D155" s="5" t="s">
        <v>12</v>
      </c>
      <c r="E155" s="11">
        <v>4.5999999999999996</v>
      </c>
      <c r="F155" s="5">
        <v>3.76</v>
      </c>
      <c r="G155" s="11">
        <v>4.5999999999999996</v>
      </c>
      <c r="H155" s="12">
        <f t="shared" si="8"/>
        <v>1.0952380952380951</v>
      </c>
      <c r="I155" s="5">
        <v>2.58</v>
      </c>
    </row>
    <row r="156" spans="1:11" x14ac:dyDescent="0.2">
      <c r="A156" s="5" t="s">
        <v>165</v>
      </c>
      <c r="B156" s="5" t="s">
        <v>12</v>
      </c>
      <c r="C156" s="5" t="s">
        <v>12</v>
      </c>
      <c r="D156" s="5" t="s">
        <v>12</v>
      </c>
      <c r="E156" s="11">
        <v>4.5999999999999996</v>
      </c>
      <c r="F156" s="5">
        <v>3.76</v>
      </c>
      <c r="G156" s="11">
        <v>4.5999999999999996</v>
      </c>
      <c r="H156" s="12">
        <f t="shared" si="8"/>
        <v>1.0952380952380951</v>
      </c>
      <c r="I156" s="5">
        <v>2.64</v>
      </c>
    </row>
    <row r="157" spans="1:11" x14ac:dyDescent="0.2">
      <c r="A157" s="5" t="s">
        <v>166</v>
      </c>
      <c r="B157" s="5" t="s">
        <v>12</v>
      </c>
      <c r="C157" s="5" t="s">
        <v>12</v>
      </c>
      <c r="D157" s="5" t="s">
        <v>12</v>
      </c>
      <c r="E157" s="11">
        <v>4.5999999999999996</v>
      </c>
      <c r="F157" s="5">
        <v>3.76</v>
      </c>
      <c r="G157" s="11">
        <v>4.5999999999999996</v>
      </c>
      <c r="H157" s="12">
        <f t="shared" si="8"/>
        <v>1.0952380952380951</v>
      </c>
      <c r="I157" s="5">
        <v>2.5099999999999998</v>
      </c>
    </row>
    <row r="158" spans="1:11" x14ac:dyDescent="0.2">
      <c r="A158" s="5" t="s">
        <v>167</v>
      </c>
      <c r="B158" s="5" t="s">
        <v>12</v>
      </c>
      <c r="C158" s="5" t="s">
        <v>12</v>
      </c>
      <c r="D158" s="5" t="s">
        <v>12</v>
      </c>
      <c r="E158" s="11">
        <v>4.5999999999999996</v>
      </c>
      <c r="F158" s="5">
        <v>3.76</v>
      </c>
      <c r="G158" s="11">
        <v>4.5999999999999996</v>
      </c>
      <c r="H158" s="12">
        <f t="shared" si="8"/>
        <v>1.0952380952380951</v>
      </c>
      <c r="I158" s="5">
        <v>2.58</v>
      </c>
    </row>
    <row r="159" spans="1:11" x14ac:dyDescent="0.2">
      <c r="A159" s="5" t="s">
        <v>168</v>
      </c>
      <c r="B159" s="5" t="s">
        <v>12</v>
      </c>
      <c r="C159" s="5" t="s">
        <v>12</v>
      </c>
      <c r="D159" s="5" t="s">
        <v>12</v>
      </c>
      <c r="E159" s="11">
        <v>4.5999999999999996</v>
      </c>
      <c r="F159" s="5">
        <v>3.76</v>
      </c>
      <c r="G159" s="11">
        <v>4.5999999999999996</v>
      </c>
      <c r="H159" s="12">
        <f>+E159/4.3</f>
        <v>1.069767441860465</v>
      </c>
      <c r="I159" s="5">
        <v>2.4500000000000002</v>
      </c>
    </row>
    <row r="160" spans="1:11" x14ac:dyDescent="0.2">
      <c r="A160" s="5" t="s">
        <v>169</v>
      </c>
      <c r="B160" s="5" t="s">
        <v>12</v>
      </c>
      <c r="C160" s="5" t="s">
        <v>12</v>
      </c>
      <c r="D160" s="5" t="s">
        <v>12</v>
      </c>
      <c r="E160" s="11">
        <v>4.5999999999999996</v>
      </c>
      <c r="F160" s="5">
        <v>3.76</v>
      </c>
      <c r="G160" s="11">
        <v>4.5999999999999996</v>
      </c>
      <c r="H160" s="12">
        <f>+E160/4.3</f>
        <v>1.069767441860465</v>
      </c>
      <c r="I160" s="5">
        <v>2.36</v>
      </c>
    </row>
    <row r="161" spans="1:9" x14ac:dyDescent="0.2">
      <c r="A161" s="5" t="s">
        <v>170</v>
      </c>
      <c r="B161" s="5" t="s">
        <v>12</v>
      </c>
      <c r="C161" s="5" t="s">
        <v>12</v>
      </c>
      <c r="D161" s="5" t="s">
        <v>12</v>
      </c>
      <c r="E161" s="11">
        <v>4.5999999999999996</v>
      </c>
      <c r="F161" s="5">
        <v>3.76</v>
      </c>
      <c r="G161" s="11">
        <v>4.5999999999999996</v>
      </c>
      <c r="H161" s="12">
        <f t="shared" ref="H161:H166" si="9">+E161/4.32</f>
        <v>1.0648148148148147</v>
      </c>
      <c r="I161" s="5">
        <v>2.39</v>
      </c>
    </row>
    <row r="162" spans="1:9" x14ac:dyDescent="0.2">
      <c r="A162" s="22" t="s">
        <v>171</v>
      </c>
      <c r="B162" s="22" t="s">
        <v>12</v>
      </c>
      <c r="C162" s="22" t="s">
        <v>12</v>
      </c>
      <c r="D162" s="22" t="s">
        <v>12</v>
      </c>
      <c r="E162" s="23">
        <v>4.5999999999999996</v>
      </c>
      <c r="F162" s="22">
        <v>3.76</v>
      </c>
      <c r="G162" s="23">
        <v>4.5999999999999996</v>
      </c>
      <c r="H162" s="25">
        <f t="shared" si="9"/>
        <v>1.0648148148148147</v>
      </c>
      <c r="I162" s="22">
        <v>2.42</v>
      </c>
    </row>
    <row r="163" spans="1:9" x14ac:dyDescent="0.2">
      <c r="A163" s="22" t="s">
        <v>172</v>
      </c>
      <c r="B163" s="22" t="s">
        <v>12</v>
      </c>
      <c r="C163" s="22" t="s">
        <v>12</v>
      </c>
      <c r="D163" s="22" t="s">
        <v>12</v>
      </c>
      <c r="E163" s="23">
        <v>4.5999999999999996</v>
      </c>
      <c r="F163" s="22">
        <v>3.76</v>
      </c>
      <c r="G163" s="23">
        <v>4.5999999999999996</v>
      </c>
      <c r="H163" s="25">
        <f t="shared" si="9"/>
        <v>1.0648148148148147</v>
      </c>
      <c r="I163" s="22">
        <v>2.52</v>
      </c>
    </row>
    <row r="164" spans="1:9" x14ac:dyDescent="0.2">
      <c r="A164" s="22" t="s">
        <v>173</v>
      </c>
      <c r="B164" s="22" t="s">
        <v>12</v>
      </c>
      <c r="C164" s="22" t="s">
        <v>12</v>
      </c>
      <c r="D164" s="22" t="s">
        <v>12</v>
      </c>
      <c r="E164" s="23">
        <v>4.5999999999999996</v>
      </c>
      <c r="F164" s="22">
        <v>3.76</v>
      </c>
      <c r="G164" s="23">
        <v>4.5999999999999996</v>
      </c>
      <c r="H164" s="25">
        <f t="shared" si="9"/>
        <v>1.0648148148148147</v>
      </c>
      <c r="I164" s="22">
        <v>2.52</v>
      </c>
    </row>
    <row r="165" spans="1:9" x14ac:dyDescent="0.2">
      <c r="A165" s="22" t="s">
        <v>174</v>
      </c>
      <c r="B165" s="22" t="s">
        <v>12</v>
      </c>
      <c r="C165" s="22" t="s">
        <v>12</v>
      </c>
      <c r="D165" s="22" t="s">
        <v>12</v>
      </c>
      <c r="E165" s="23">
        <v>4.5999999999999996</v>
      </c>
      <c r="F165" s="22">
        <v>3.76</v>
      </c>
      <c r="G165" s="23">
        <v>4.5999999999999996</v>
      </c>
      <c r="H165" s="25">
        <f t="shared" si="9"/>
        <v>1.0648148148148147</v>
      </c>
      <c r="I165" s="22">
        <v>2.58</v>
      </c>
    </row>
    <row r="166" spans="1:9" x14ac:dyDescent="0.2">
      <c r="A166" s="22" t="s">
        <v>175</v>
      </c>
      <c r="B166" s="22" t="s">
        <v>12</v>
      </c>
      <c r="C166" s="22" t="s">
        <v>12</v>
      </c>
      <c r="D166" s="22" t="s">
        <v>12</v>
      </c>
      <c r="E166" s="23">
        <v>4.5999999999999996</v>
      </c>
      <c r="F166" s="22">
        <v>3.76</v>
      </c>
      <c r="G166" s="23">
        <v>4.5999999999999996</v>
      </c>
      <c r="H166" s="25">
        <f t="shared" si="9"/>
        <v>1.0648148148148147</v>
      </c>
      <c r="I166" s="22">
        <v>2.62</v>
      </c>
    </row>
    <row r="167" spans="1:9" x14ac:dyDescent="0.2">
      <c r="A167" s="22" t="s">
        <v>176</v>
      </c>
      <c r="B167" s="22" t="s">
        <v>12</v>
      </c>
      <c r="C167" s="22" t="s">
        <v>12</v>
      </c>
      <c r="D167" s="22" t="s">
        <v>12</v>
      </c>
      <c r="E167" s="23">
        <v>4.5999999999999996</v>
      </c>
      <c r="F167" s="22">
        <v>3.76</v>
      </c>
      <c r="G167" s="23">
        <v>4.5999999999999996</v>
      </c>
      <c r="H167" s="25">
        <f>+E167/4.32</f>
        <v>1.0648148148148147</v>
      </c>
      <c r="I167" s="22">
        <v>2.69</v>
      </c>
    </row>
    <row r="168" spans="1:9" x14ac:dyDescent="0.2">
      <c r="A168" s="22" t="s">
        <v>177</v>
      </c>
      <c r="B168" s="22" t="s">
        <v>12</v>
      </c>
      <c r="C168" s="22" t="s">
        <v>12</v>
      </c>
      <c r="D168" s="22" t="s">
        <v>12</v>
      </c>
      <c r="E168" s="23">
        <v>4.5999999999999996</v>
      </c>
      <c r="F168" s="22">
        <v>3.76</v>
      </c>
      <c r="G168" s="23">
        <v>4.5999999999999996</v>
      </c>
      <c r="H168" s="25">
        <f>+E168/4.32</f>
        <v>1.0648148148148147</v>
      </c>
      <c r="I168" s="22">
        <v>2.73</v>
      </c>
    </row>
    <row r="169" spans="1:9" x14ac:dyDescent="0.2">
      <c r="A169" s="22" t="s">
        <v>178</v>
      </c>
      <c r="B169" s="22" t="s">
        <v>12</v>
      </c>
      <c r="C169" s="22" t="s">
        <v>12</v>
      </c>
      <c r="D169" s="22" t="s">
        <v>12</v>
      </c>
      <c r="E169" s="23">
        <v>4.5999999999999996</v>
      </c>
      <c r="F169" s="22">
        <v>3.76</v>
      </c>
      <c r="G169" s="23">
        <v>4.5999999999999996</v>
      </c>
      <c r="H169" s="25">
        <f>+E169/4.34</f>
        <v>1.0599078341013823</v>
      </c>
      <c r="I169" s="22">
        <v>2.82</v>
      </c>
    </row>
    <row r="170" spans="1:9" x14ac:dyDescent="0.2">
      <c r="A170" s="22" t="s">
        <v>179</v>
      </c>
      <c r="B170" s="22" t="s">
        <v>12</v>
      </c>
      <c r="C170" s="22" t="s">
        <v>12</v>
      </c>
      <c r="D170" s="22" t="s">
        <v>12</v>
      </c>
      <c r="E170" s="23">
        <v>4.5999999999999996</v>
      </c>
      <c r="F170" s="22">
        <v>3.76</v>
      </c>
      <c r="G170" s="23">
        <v>4.5999999999999996</v>
      </c>
      <c r="H170" s="25">
        <f>+E170/4.34</f>
        <v>1.0599078341013823</v>
      </c>
      <c r="I170" s="23">
        <v>2.8</v>
      </c>
    </row>
    <row r="171" spans="1:9" x14ac:dyDescent="0.2">
      <c r="A171" s="22" t="s">
        <v>180</v>
      </c>
      <c r="B171" s="22" t="s">
        <v>12</v>
      </c>
      <c r="C171" s="22" t="s">
        <v>12</v>
      </c>
      <c r="D171" s="22" t="s">
        <v>12</v>
      </c>
      <c r="E171" s="23">
        <v>4.5999999999999996</v>
      </c>
      <c r="F171" s="22">
        <v>3.76</v>
      </c>
      <c r="G171" s="23">
        <v>4.5999999999999996</v>
      </c>
      <c r="H171" s="25">
        <f>+E171/4.34</f>
        <v>1.0599078341013823</v>
      </c>
      <c r="I171" s="22">
        <v>2.97</v>
      </c>
    </row>
    <row r="172" spans="1:9" x14ac:dyDescent="0.2">
      <c r="A172" s="22" t="s">
        <v>181</v>
      </c>
      <c r="B172" s="22" t="s">
        <v>12</v>
      </c>
      <c r="C172" s="22" t="s">
        <v>12</v>
      </c>
      <c r="D172" s="22" t="s">
        <v>12</v>
      </c>
      <c r="E172" s="23">
        <v>4.5999999999999996</v>
      </c>
      <c r="F172" s="22">
        <v>3.76</v>
      </c>
      <c r="G172" s="23">
        <v>4.5999999999999996</v>
      </c>
      <c r="H172" s="25">
        <f>+E172/4.34</f>
        <v>1.0599078341013823</v>
      </c>
      <c r="I172" s="22">
        <v>2.98</v>
      </c>
    </row>
    <row r="173" spans="1:9" x14ac:dyDescent="0.2">
      <c r="A173" s="22" t="s">
        <v>182</v>
      </c>
      <c r="B173" s="22" t="s">
        <v>12</v>
      </c>
      <c r="C173" s="22" t="s">
        <v>12</v>
      </c>
      <c r="D173" s="22" t="s">
        <v>12</v>
      </c>
      <c r="E173" s="23">
        <v>4.5999999999999996</v>
      </c>
      <c r="F173" s="22">
        <v>3.76</v>
      </c>
      <c r="G173" s="23">
        <v>4.5999999999999996</v>
      </c>
      <c r="H173" s="25">
        <f>+E173/4.38</f>
        <v>1.0502283105022832</v>
      </c>
      <c r="I173" s="22">
        <v>2.98</v>
      </c>
    </row>
    <row r="174" spans="1:9" x14ac:dyDescent="0.2">
      <c r="A174" s="22" t="s">
        <v>183</v>
      </c>
      <c r="B174" s="22" t="s">
        <v>12</v>
      </c>
      <c r="C174" s="22" t="s">
        <v>12</v>
      </c>
      <c r="D174" s="22" t="s">
        <v>12</v>
      </c>
      <c r="E174" s="23">
        <v>4.5999999999999996</v>
      </c>
      <c r="F174" s="22">
        <v>3.76</v>
      </c>
      <c r="G174" s="23">
        <v>4.5999999999999996</v>
      </c>
      <c r="H174" s="25">
        <f>+E174/4.38</f>
        <v>1.0502283105022832</v>
      </c>
      <c r="I174" s="22">
        <v>2.87</v>
      </c>
    </row>
    <row r="175" spans="1:9" x14ac:dyDescent="0.2">
      <c r="A175" s="22" t="s">
        <v>184</v>
      </c>
      <c r="B175" s="22" t="s">
        <v>12</v>
      </c>
      <c r="C175" s="22" t="s">
        <v>12</v>
      </c>
      <c r="D175" s="22" t="s">
        <v>12</v>
      </c>
      <c r="E175" s="23">
        <v>4.5999999999999996</v>
      </c>
      <c r="F175" s="22">
        <v>3.76</v>
      </c>
      <c r="G175" s="23">
        <v>4.5999999999999996</v>
      </c>
      <c r="H175" s="25">
        <f>+E175/4.38</f>
        <v>1.0502283105022832</v>
      </c>
      <c r="I175" s="22">
        <v>2.85</v>
      </c>
    </row>
    <row r="176" spans="1:9" x14ac:dyDescent="0.2">
      <c r="A176" s="26" t="s">
        <v>185</v>
      </c>
      <c r="B176" s="22" t="s">
        <v>12</v>
      </c>
      <c r="C176" s="22" t="s">
        <v>12</v>
      </c>
      <c r="D176" s="22" t="s">
        <v>12</v>
      </c>
      <c r="E176" s="23">
        <v>4.5999999999999996</v>
      </c>
      <c r="F176" s="22">
        <v>3.76</v>
      </c>
      <c r="G176" s="23">
        <v>4.5999999999999996</v>
      </c>
      <c r="H176" s="25">
        <f>+E176/4.38</f>
        <v>1.0502283105022832</v>
      </c>
      <c r="I176" s="22">
        <v>2.85</v>
      </c>
    </row>
    <row r="177" spans="1:9" x14ac:dyDescent="0.2">
      <c r="A177" s="22" t="s">
        <v>186</v>
      </c>
      <c r="B177" s="22" t="s">
        <v>12</v>
      </c>
      <c r="C177" s="22" t="s">
        <v>12</v>
      </c>
      <c r="D177" s="22" t="s">
        <v>12</v>
      </c>
      <c r="E177" s="23">
        <v>4.5999999999999996</v>
      </c>
      <c r="F177" s="22">
        <v>3.76</v>
      </c>
      <c r="G177" s="23">
        <v>4.5999999999999996</v>
      </c>
      <c r="H177" s="25">
        <f t="shared" ref="H177:H182" si="10">+E177/4.4</f>
        <v>1.0454545454545452</v>
      </c>
      <c r="I177" s="22">
        <v>2.89</v>
      </c>
    </row>
    <row r="178" spans="1:9" x14ac:dyDescent="0.2">
      <c r="A178" s="22" t="s">
        <v>187</v>
      </c>
      <c r="B178" s="22" t="s">
        <v>12</v>
      </c>
      <c r="C178" s="22" t="s">
        <v>12</v>
      </c>
      <c r="D178" s="22" t="s">
        <v>12</v>
      </c>
      <c r="E178" s="23">
        <v>4.5999999999999996</v>
      </c>
      <c r="F178" s="22">
        <v>3.76</v>
      </c>
      <c r="G178" s="23">
        <v>4.5999999999999996</v>
      </c>
      <c r="H178" s="25">
        <f t="shared" si="10"/>
        <v>1.0454545454545452</v>
      </c>
      <c r="I178" s="22">
        <v>2.88</v>
      </c>
    </row>
    <row r="179" spans="1:9" x14ac:dyDescent="0.2">
      <c r="A179" s="22" t="s">
        <v>188</v>
      </c>
      <c r="B179" s="22" t="s">
        <v>12</v>
      </c>
      <c r="C179" s="22" t="s">
        <v>12</v>
      </c>
      <c r="D179" s="22" t="s">
        <v>12</v>
      </c>
      <c r="E179" s="23">
        <v>4.5999999999999996</v>
      </c>
      <c r="F179" s="22">
        <v>3.76</v>
      </c>
      <c r="G179" s="23">
        <v>4.5999999999999996</v>
      </c>
      <c r="H179" s="25">
        <f t="shared" si="10"/>
        <v>1.0454545454545452</v>
      </c>
      <c r="I179" s="22">
        <v>2.97</v>
      </c>
    </row>
    <row r="180" spans="1:9" x14ac:dyDescent="0.2">
      <c r="A180" s="26" t="s">
        <v>189</v>
      </c>
      <c r="B180" s="22" t="s">
        <v>12</v>
      </c>
      <c r="C180" s="22" t="s">
        <v>12</v>
      </c>
      <c r="D180" s="22" t="s">
        <v>12</v>
      </c>
      <c r="E180" s="23">
        <v>4.5999999999999996</v>
      </c>
      <c r="F180" s="22">
        <v>3.76</v>
      </c>
      <c r="G180" s="23">
        <v>4.5999999999999996</v>
      </c>
      <c r="H180" s="25">
        <f t="shared" si="10"/>
        <v>1.0454545454545452</v>
      </c>
      <c r="I180" s="22">
        <v>2.94</v>
      </c>
    </row>
    <row r="181" spans="1:9" x14ac:dyDescent="0.2">
      <c r="A181" s="26" t="s">
        <v>190</v>
      </c>
      <c r="B181" s="22" t="s">
        <v>12</v>
      </c>
      <c r="C181" s="22" t="s">
        <v>12</v>
      </c>
      <c r="D181" s="22" t="s">
        <v>12</v>
      </c>
      <c r="E181" s="23">
        <v>4.5999999999999996</v>
      </c>
      <c r="F181" s="22">
        <v>3.76</v>
      </c>
      <c r="G181" s="23">
        <v>4.5999999999999996</v>
      </c>
      <c r="H181" s="25">
        <f t="shared" si="10"/>
        <v>1.0454545454545452</v>
      </c>
      <c r="I181" s="22">
        <v>3.01</v>
      </c>
    </row>
    <row r="182" spans="1:9" x14ac:dyDescent="0.2">
      <c r="A182" s="22" t="s">
        <v>191</v>
      </c>
      <c r="B182" s="22" t="s">
        <v>12</v>
      </c>
      <c r="C182" s="22" t="s">
        <v>12</v>
      </c>
      <c r="D182" s="22" t="s">
        <v>12</v>
      </c>
      <c r="E182" s="23">
        <v>4.5999999999999996</v>
      </c>
      <c r="F182" s="22">
        <v>3.76</v>
      </c>
      <c r="G182" s="23">
        <v>4.5999999999999996</v>
      </c>
      <c r="H182" s="25">
        <f t="shared" si="10"/>
        <v>1.0454545454545452</v>
      </c>
      <c r="I182" s="22">
        <v>2.93</v>
      </c>
    </row>
    <row r="183" spans="1:9" x14ac:dyDescent="0.2">
      <c r="A183" s="22" t="s">
        <v>192</v>
      </c>
      <c r="B183" s="22" t="s">
        <v>12</v>
      </c>
      <c r="C183" s="22" t="s">
        <v>12</v>
      </c>
      <c r="D183" s="22" t="s">
        <v>12</v>
      </c>
      <c r="E183" s="23">
        <v>4.5999999999999996</v>
      </c>
      <c r="F183" s="22">
        <v>3.76</v>
      </c>
      <c r="G183" s="23">
        <v>4.5999999999999996</v>
      </c>
      <c r="H183" s="25">
        <f>+E183/4.47</f>
        <v>1.029082774049217</v>
      </c>
      <c r="I183" s="22">
        <v>2.93</v>
      </c>
    </row>
    <row r="184" spans="1:9" x14ac:dyDescent="0.2">
      <c r="A184" s="22" t="s">
        <v>193</v>
      </c>
      <c r="B184" s="22" t="s">
        <v>12</v>
      </c>
      <c r="C184" s="22" t="s">
        <v>12</v>
      </c>
      <c r="D184" s="22" t="s">
        <v>12</v>
      </c>
      <c r="E184" s="23">
        <v>4.5999999999999996</v>
      </c>
      <c r="F184" s="22">
        <v>3.76</v>
      </c>
      <c r="G184" s="23">
        <v>4.5999999999999996</v>
      </c>
      <c r="H184" s="25">
        <f>+E184/4.47</f>
        <v>1.029082774049217</v>
      </c>
      <c r="I184" s="22">
        <v>2.93</v>
      </c>
    </row>
    <row r="185" spans="1:9" x14ac:dyDescent="0.2">
      <c r="A185" s="22" t="s">
        <v>194</v>
      </c>
      <c r="B185" s="22" t="s">
        <v>12</v>
      </c>
      <c r="C185" s="22" t="s">
        <v>12</v>
      </c>
      <c r="D185" s="22" t="s">
        <v>12</v>
      </c>
      <c r="E185" s="23">
        <v>4.5999999999999996</v>
      </c>
      <c r="F185" s="22">
        <v>3.76</v>
      </c>
      <c r="G185" s="23">
        <v>4.5999999999999996</v>
      </c>
      <c r="H185" s="25">
        <f>+E185/4.47</f>
        <v>1.029082774049217</v>
      </c>
      <c r="I185" s="23">
        <v>2.9</v>
      </c>
    </row>
    <row r="186" spans="1:9" x14ac:dyDescent="0.2">
      <c r="A186" s="22" t="s">
        <v>195</v>
      </c>
      <c r="B186" s="22" t="s">
        <v>12</v>
      </c>
      <c r="C186" s="22" t="s">
        <v>12</v>
      </c>
      <c r="D186" s="22" t="s">
        <v>12</v>
      </c>
      <c r="E186" s="23">
        <v>4.5999999999999996</v>
      </c>
      <c r="F186" s="22">
        <v>3.76</v>
      </c>
      <c r="G186" s="23">
        <v>4.5999999999999996</v>
      </c>
      <c r="H186" s="25">
        <f>+E186/4.52</f>
        <v>1.0176991150442478</v>
      </c>
      <c r="I186" s="22">
        <v>2.94</v>
      </c>
    </row>
    <row r="187" spans="1:9" x14ac:dyDescent="0.2">
      <c r="A187" s="22" t="s">
        <v>196</v>
      </c>
      <c r="B187" s="22" t="s">
        <v>12</v>
      </c>
      <c r="C187" s="22" t="s">
        <v>12</v>
      </c>
      <c r="D187" s="22" t="s">
        <v>12</v>
      </c>
      <c r="E187" s="23">
        <v>4.5999999999999996</v>
      </c>
      <c r="F187" s="22">
        <v>3.76</v>
      </c>
      <c r="G187" s="23">
        <v>4.5999999999999996</v>
      </c>
      <c r="H187" s="25">
        <f>+E187/4.52</f>
        <v>1.0176991150442478</v>
      </c>
      <c r="I187" s="22">
        <v>2.87</v>
      </c>
    </row>
    <row r="188" spans="1:9" x14ac:dyDescent="0.2">
      <c r="A188" s="22" t="s">
        <v>197</v>
      </c>
      <c r="B188" s="22" t="s">
        <v>12</v>
      </c>
      <c r="C188" s="22" t="s">
        <v>12</v>
      </c>
      <c r="D188" s="22" t="s">
        <v>12</v>
      </c>
      <c r="E188" s="23">
        <v>4.5999999999999996</v>
      </c>
      <c r="F188" s="22">
        <v>3.76</v>
      </c>
      <c r="G188" s="23">
        <v>4.5999999999999996</v>
      </c>
      <c r="H188" s="25">
        <f>+E188/4.52</f>
        <v>1.0176991150442478</v>
      </c>
      <c r="I188" s="22">
        <v>2.85</v>
      </c>
    </row>
    <row r="189" spans="1:9" x14ac:dyDescent="0.2">
      <c r="A189" s="22" t="s">
        <v>198</v>
      </c>
      <c r="B189" s="22" t="s">
        <v>12</v>
      </c>
      <c r="C189" s="22" t="s">
        <v>12</v>
      </c>
      <c r="D189" s="22" t="s">
        <v>12</v>
      </c>
      <c r="E189" s="23">
        <v>4.5999999999999996</v>
      </c>
      <c r="F189" s="22">
        <v>3.76</v>
      </c>
      <c r="G189" s="23">
        <v>4.5999999999999996</v>
      </c>
      <c r="H189" s="25">
        <f>+E189/4.53</f>
        <v>1.0154525386313464</v>
      </c>
      <c r="I189" s="22">
        <v>2.88</v>
      </c>
    </row>
    <row r="190" spans="1:9" x14ac:dyDescent="0.2">
      <c r="A190" s="22" t="s">
        <v>199</v>
      </c>
      <c r="B190" s="22" t="s">
        <v>12</v>
      </c>
      <c r="C190" s="22" t="s">
        <v>12</v>
      </c>
      <c r="D190" s="22" t="s">
        <v>12</v>
      </c>
      <c r="E190" s="23">
        <v>4.5999999999999996</v>
      </c>
      <c r="F190" s="22">
        <v>3.76</v>
      </c>
      <c r="G190" s="23">
        <v>4.5999999999999996</v>
      </c>
      <c r="H190" s="25">
        <f>+E190/4.56</f>
        <v>1.0087719298245614</v>
      </c>
      <c r="I190" s="22" t="s">
        <v>13</v>
      </c>
    </row>
    <row r="191" spans="1:9" x14ac:dyDescent="0.2">
      <c r="A191" s="22" t="s">
        <v>200</v>
      </c>
      <c r="B191" s="22" t="s">
        <v>12</v>
      </c>
      <c r="C191" s="22" t="s">
        <v>12</v>
      </c>
      <c r="D191" s="22" t="s">
        <v>12</v>
      </c>
      <c r="E191" s="23">
        <v>4.5999999999999996</v>
      </c>
      <c r="F191" s="22">
        <v>3.76</v>
      </c>
      <c r="G191" s="23">
        <v>4.5999999999999996</v>
      </c>
      <c r="H191" s="25">
        <f>+E191/4.57</f>
        <v>1.0065645514223194</v>
      </c>
      <c r="I191" s="22" t="s">
        <v>13</v>
      </c>
    </row>
    <row r="192" spans="1:9" x14ac:dyDescent="0.2">
      <c r="A192" s="22" t="s">
        <v>201</v>
      </c>
      <c r="B192" s="22" t="s">
        <v>12</v>
      </c>
      <c r="C192" s="22" t="s">
        <v>12</v>
      </c>
      <c r="D192" s="22" t="s">
        <v>12</v>
      </c>
      <c r="E192" s="23">
        <v>4.5999999999999996</v>
      </c>
      <c r="F192" s="22">
        <v>3.76</v>
      </c>
      <c r="G192" s="23">
        <v>4.5999999999999996</v>
      </c>
      <c r="H192" s="25">
        <f>+E192/4.58</f>
        <v>1.0043668122270741</v>
      </c>
      <c r="I192" s="22" t="s">
        <v>13</v>
      </c>
    </row>
    <row r="193" spans="1:9" x14ac:dyDescent="0.2">
      <c r="A193" s="22" t="s">
        <v>202</v>
      </c>
      <c r="B193" s="22" t="s">
        <v>12</v>
      </c>
      <c r="C193" s="22" t="s">
        <v>12</v>
      </c>
      <c r="D193" s="22" t="s">
        <v>12</v>
      </c>
      <c r="E193" s="23">
        <v>4.5999999999999996</v>
      </c>
      <c r="F193" s="22">
        <v>3.76</v>
      </c>
      <c r="G193" s="23">
        <v>4.5999999999999996</v>
      </c>
      <c r="H193" s="25">
        <f>+E193/4.6</f>
        <v>1</v>
      </c>
      <c r="I193" s="22">
        <v>2.99</v>
      </c>
    </row>
    <row r="194" spans="1:9" x14ac:dyDescent="0.2">
      <c r="A194" s="22" t="s">
        <v>203</v>
      </c>
      <c r="B194" s="22" t="s">
        <v>12</v>
      </c>
      <c r="C194" s="22" t="s">
        <v>12</v>
      </c>
      <c r="D194" s="22" t="s">
        <v>12</v>
      </c>
      <c r="E194" s="23">
        <f t="shared" ref="E194:E215" si="11">9.2/2</f>
        <v>4.5999999999999996</v>
      </c>
      <c r="F194" s="22">
        <v>3.76</v>
      </c>
      <c r="G194" s="23">
        <v>4.5999999999999996</v>
      </c>
      <c r="H194" s="25">
        <f>+E194/4.59</f>
        <v>1.0021786492374727</v>
      </c>
      <c r="I194" s="23">
        <v>3.1</v>
      </c>
    </row>
    <row r="195" spans="1:9" x14ac:dyDescent="0.2">
      <c r="A195" s="22" t="s">
        <v>204</v>
      </c>
      <c r="B195" s="22" t="s">
        <v>12</v>
      </c>
      <c r="C195" s="22" t="s">
        <v>12</v>
      </c>
      <c r="D195" s="22" t="s">
        <v>12</v>
      </c>
      <c r="E195" s="23">
        <f t="shared" si="11"/>
        <v>4.5999999999999996</v>
      </c>
      <c r="F195" s="22">
        <v>3.76</v>
      </c>
      <c r="G195" s="23">
        <v>4.5999999999999996</v>
      </c>
      <c r="H195" s="25">
        <f>+E195/4.59</f>
        <v>1.0021786492374727</v>
      </c>
      <c r="I195" s="22">
        <v>2.97</v>
      </c>
    </row>
    <row r="196" spans="1:9" x14ac:dyDescent="0.2">
      <c r="A196" s="22" t="s">
        <v>205</v>
      </c>
      <c r="B196" s="22" t="s">
        <v>12</v>
      </c>
      <c r="C196" s="22" t="s">
        <v>12</v>
      </c>
      <c r="D196" s="22" t="s">
        <v>12</v>
      </c>
      <c r="E196" s="23">
        <f t="shared" si="11"/>
        <v>4.5999999999999996</v>
      </c>
      <c r="F196" s="22">
        <v>3.76</v>
      </c>
      <c r="G196" s="23">
        <v>4.5999999999999996</v>
      </c>
      <c r="H196" s="25">
        <f>+E196/4.61</f>
        <v>0.99783080260303669</v>
      </c>
      <c r="I196" s="22" t="s">
        <v>13</v>
      </c>
    </row>
    <row r="197" spans="1:9" x14ac:dyDescent="0.2">
      <c r="A197" s="22" t="s">
        <v>206</v>
      </c>
      <c r="B197" s="22" t="s">
        <v>12</v>
      </c>
      <c r="C197" s="22" t="s">
        <v>12</v>
      </c>
      <c r="D197" s="22" t="s">
        <v>12</v>
      </c>
      <c r="E197" s="23">
        <f t="shared" si="11"/>
        <v>4.5999999999999996</v>
      </c>
      <c r="F197" s="22">
        <v>3.76</v>
      </c>
      <c r="G197" s="23">
        <v>4.5999999999999996</v>
      </c>
      <c r="H197" s="25">
        <f>+E197/4.61</f>
        <v>0.99783080260303669</v>
      </c>
      <c r="I197" s="22">
        <v>2.94</v>
      </c>
    </row>
    <row r="198" spans="1:9" x14ac:dyDescent="0.2">
      <c r="A198" s="22" t="s">
        <v>207</v>
      </c>
      <c r="B198" s="22" t="s">
        <v>12</v>
      </c>
      <c r="C198" s="22" t="s">
        <v>12</v>
      </c>
      <c r="D198" s="22" t="s">
        <v>12</v>
      </c>
      <c r="E198" s="23">
        <f t="shared" si="11"/>
        <v>4.5999999999999996</v>
      </c>
      <c r="F198" s="22">
        <v>3.76</v>
      </c>
      <c r="G198" s="23">
        <v>4.5999999999999996</v>
      </c>
      <c r="H198" s="25">
        <f>+E198/4.69</f>
        <v>0.98081023454157767</v>
      </c>
      <c r="I198" s="22">
        <v>2.94</v>
      </c>
    </row>
    <row r="199" spans="1:9" x14ac:dyDescent="0.2">
      <c r="A199" s="22" t="s">
        <v>208</v>
      </c>
      <c r="B199" s="22" t="s">
        <v>12</v>
      </c>
      <c r="C199" s="22" t="s">
        <v>12</v>
      </c>
      <c r="D199" s="22" t="s">
        <v>12</v>
      </c>
      <c r="E199" s="23">
        <f t="shared" si="11"/>
        <v>4.5999999999999996</v>
      </c>
      <c r="F199" s="22">
        <v>3.76</v>
      </c>
      <c r="G199" s="23">
        <v>4.5999999999999996</v>
      </c>
      <c r="H199" s="25">
        <f>+E199/4.71</f>
        <v>0.97664543524416125</v>
      </c>
      <c r="I199" s="22">
        <v>2.97</v>
      </c>
    </row>
    <row r="200" spans="1:9" x14ac:dyDescent="0.2">
      <c r="A200" s="22" t="s">
        <v>209</v>
      </c>
      <c r="B200" s="22" t="s">
        <v>12</v>
      </c>
      <c r="C200" s="22" t="s">
        <v>12</v>
      </c>
      <c r="D200" s="22" t="s">
        <v>12</v>
      </c>
      <c r="E200" s="23">
        <f t="shared" si="11"/>
        <v>4.5999999999999996</v>
      </c>
      <c r="F200" s="22">
        <v>3.76</v>
      </c>
      <c r="G200" s="23">
        <v>4.5999999999999996</v>
      </c>
      <c r="H200" s="25">
        <f>+E200/4.72</f>
        <v>0.97457627118644063</v>
      </c>
      <c r="I200" s="22">
        <v>2.97</v>
      </c>
    </row>
    <row r="201" spans="1:9" x14ac:dyDescent="0.2">
      <c r="A201" s="22" t="s">
        <v>210</v>
      </c>
      <c r="B201" s="22" t="s">
        <v>12</v>
      </c>
      <c r="C201" s="22" t="s">
        <v>12</v>
      </c>
      <c r="D201" s="22" t="s">
        <v>12</v>
      </c>
      <c r="E201" s="23">
        <f t="shared" si="11"/>
        <v>4.5999999999999996</v>
      </c>
      <c r="F201" s="22">
        <v>3.76</v>
      </c>
      <c r="G201" s="23">
        <v>4.5999999999999996</v>
      </c>
      <c r="H201" s="25">
        <f>+E201/4.72</f>
        <v>0.97457627118644063</v>
      </c>
      <c r="I201" s="22">
        <v>2.94</v>
      </c>
    </row>
    <row r="202" spans="1:9" x14ac:dyDescent="0.2">
      <c r="A202" s="22" t="s">
        <v>211</v>
      </c>
      <c r="B202" s="22" t="s">
        <v>12</v>
      </c>
      <c r="C202" s="22" t="s">
        <v>12</v>
      </c>
      <c r="D202" s="22" t="s">
        <v>12</v>
      </c>
      <c r="E202" s="23">
        <f t="shared" si="11"/>
        <v>4.5999999999999996</v>
      </c>
      <c r="F202" s="22">
        <v>3.76</v>
      </c>
      <c r="G202" s="23">
        <v>4.5999999999999996</v>
      </c>
      <c r="H202" s="25">
        <f>+E202/4.73</f>
        <v>0.97251585623678627</v>
      </c>
      <c r="I202" s="22">
        <v>2.91</v>
      </c>
    </row>
    <row r="203" spans="1:9" x14ac:dyDescent="0.2">
      <c r="A203" s="22" t="s">
        <v>212</v>
      </c>
      <c r="B203" s="22" t="s">
        <v>12</v>
      </c>
      <c r="C203" s="22" t="s">
        <v>12</v>
      </c>
      <c r="D203" s="22" t="s">
        <v>12</v>
      </c>
      <c r="E203" s="23">
        <f t="shared" si="11"/>
        <v>4.5999999999999996</v>
      </c>
      <c r="F203" s="22">
        <v>3.76</v>
      </c>
      <c r="G203" s="23">
        <v>4.5999999999999996</v>
      </c>
      <c r="H203" s="25">
        <f>+E203/4.76</f>
        <v>0.96638655462184875</v>
      </c>
      <c r="I203" s="22">
        <v>2.94</v>
      </c>
    </row>
    <row r="204" spans="1:9" x14ac:dyDescent="0.2">
      <c r="A204" s="22" t="s">
        <v>213</v>
      </c>
      <c r="B204" s="22" t="s">
        <v>12</v>
      </c>
      <c r="C204" s="22" t="s">
        <v>12</v>
      </c>
      <c r="D204" s="22" t="s">
        <v>12</v>
      </c>
      <c r="E204" s="23">
        <f t="shared" si="11"/>
        <v>4.5999999999999996</v>
      </c>
      <c r="F204" s="22">
        <v>3.76</v>
      </c>
      <c r="G204" s="23">
        <v>4.5999999999999996</v>
      </c>
      <c r="H204" s="25">
        <f>+E204/4.76</f>
        <v>0.96638655462184875</v>
      </c>
      <c r="I204" s="22">
        <v>3.04</v>
      </c>
    </row>
    <row r="205" spans="1:9" x14ac:dyDescent="0.2">
      <c r="A205" s="22" t="s">
        <v>214</v>
      </c>
      <c r="B205" s="22" t="s">
        <v>12</v>
      </c>
      <c r="C205" s="22" t="s">
        <v>12</v>
      </c>
      <c r="D205" s="22" t="s">
        <v>12</v>
      </c>
      <c r="E205" s="23">
        <f t="shared" si="11"/>
        <v>4.5999999999999996</v>
      </c>
      <c r="F205" s="22">
        <v>3.76</v>
      </c>
      <c r="G205" s="23">
        <v>4.5999999999999996</v>
      </c>
      <c r="H205" s="25">
        <f>+E205/4.8</f>
        <v>0.95833333333333326</v>
      </c>
      <c r="I205" s="22">
        <v>3.08</v>
      </c>
    </row>
    <row r="206" spans="1:9" x14ac:dyDescent="0.2">
      <c r="A206" s="22" t="s">
        <v>215</v>
      </c>
      <c r="B206" s="22" t="s">
        <v>12</v>
      </c>
      <c r="C206" s="22" t="s">
        <v>12</v>
      </c>
      <c r="D206" s="22" t="s">
        <v>12</v>
      </c>
      <c r="E206" s="23">
        <f t="shared" si="11"/>
        <v>4.5999999999999996</v>
      </c>
      <c r="F206" s="22">
        <v>3.76</v>
      </c>
      <c r="G206" s="23">
        <v>4.5999999999999996</v>
      </c>
      <c r="H206" s="25">
        <f>+E206/4.8</f>
        <v>0.95833333333333326</v>
      </c>
      <c r="I206" s="22">
        <v>2.99</v>
      </c>
    </row>
    <row r="207" spans="1:9" x14ac:dyDescent="0.2">
      <c r="A207" s="22" t="s">
        <v>216</v>
      </c>
      <c r="B207" s="22" t="s">
        <v>12</v>
      </c>
      <c r="C207" s="22" t="s">
        <v>12</v>
      </c>
      <c r="D207" s="22" t="s">
        <v>12</v>
      </c>
      <c r="E207" s="23">
        <f t="shared" si="11"/>
        <v>4.5999999999999996</v>
      </c>
      <c r="F207" s="22">
        <v>3.76</v>
      </c>
      <c r="G207" s="23">
        <v>4.5999999999999996</v>
      </c>
      <c r="H207" s="25">
        <f>+E207/4.8</f>
        <v>0.95833333333333326</v>
      </c>
      <c r="I207" s="22">
        <v>3.11</v>
      </c>
    </row>
    <row r="208" spans="1:9" x14ac:dyDescent="0.2">
      <c r="A208" s="22" t="s">
        <v>217</v>
      </c>
      <c r="B208" s="22" t="s">
        <v>12</v>
      </c>
      <c r="C208" s="22" t="s">
        <v>12</v>
      </c>
      <c r="D208" s="22" t="s">
        <v>12</v>
      </c>
      <c r="E208" s="23">
        <f t="shared" si="11"/>
        <v>4.5999999999999996</v>
      </c>
      <c r="F208" s="22">
        <v>3.76</v>
      </c>
      <c r="G208" s="23">
        <v>4.5999999999999996</v>
      </c>
      <c r="H208" s="25">
        <f>+E208/4.8</f>
        <v>0.95833333333333326</v>
      </c>
      <c r="I208" s="22">
        <v>3.08</v>
      </c>
    </row>
    <row r="209" spans="1:9" x14ac:dyDescent="0.2">
      <c r="A209" s="22" t="s">
        <v>218</v>
      </c>
      <c r="B209" s="22" t="s">
        <v>12</v>
      </c>
      <c r="C209" s="22" t="s">
        <v>12</v>
      </c>
      <c r="D209" s="22" t="s">
        <v>12</v>
      </c>
      <c r="E209" s="23">
        <f t="shared" si="11"/>
        <v>4.5999999999999996</v>
      </c>
      <c r="F209" s="22">
        <v>3.76</v>
      </c>
      <c r="G209" s="23">
        <v>4.5999999999999996</v>
      </c>
      <c r="H209" s="25">
        <f>+E209/4.8</f>
        <v>0.95833333333333326</v>
      </c>
      <c r="I209" s="22">
        <v>3.15</v>
      </c>
    </row>
    <row r="210" spans="1:9" x14ac:dyDescent="0.2">
      <c r="A210" s="22" t="s">
        <v>219</v>
      </c>
      <c r="B210" s="22" t="s">
        <v>12</v>
      </c>
      <c r="C210" s="22" t="s">
        <v>12</v>
      </c>
      <c r="D210" s="22" t="s">
        <v>12</v>
      </c>
      <c r="E210" s="23">
        <f t="shared" si="11"/>
        <v>4.5999999999999996</v>
      </c>
      <c r="F210" s="22">
        <v>3.76</v>
      </c>
      <c r="G210" s="23">
        <v>4.5999999999999996</v>
      </c>
      <c r="H210" s="25">
        <f>+E210/4.85</f>
        <v>0.94845360824742264</v>
      </c>
      <c r="I210" s="22">
        <v>3.13</v>
      </c>
    </row>
    <row r="211" spans="1:9" x14ac:dyDescent="0.2">
      <c r="A211" s="22" t="s">
        <v>220</v>
      </c>
      <c r="B211" s="22" t="s">
        <v>12</v>
      </c>
      <c r="C211" s="22" t="s">
        <v>12</v>
      </c>
      <c r="D211" s="22" t="s">
        <v>12</v>
      </c>
      <c r="E211" s="23">
        <f t="shared" si="11"/>
        <v>4.5999999999999996</v>
      </c>
      <c r="F211" s="22">
        <v>3.76</v>
      </c>
      <c r="G211" s="23">
        <v>4.5999999999999996</v>
      </c>
      <c r="H211" s="25">
        <f>+E211/4.85</f>
        <v>0.94845360824742264</v>
      </c>
      <c r="I211" s="23">
        <v>3.2</v>
      </c>
    </row>
    <row r="212" spans="1:9" x14ac:dyDescent="0.2">
      <c r="A212" s="22" t="s">
        <v>221</v>
      </c>
      <c r="B212" s="22" t="s">
        <v>12</v>
      </c>
      <c r="C212" s="22" t="s">
        <v>12</v>
      </c>
      <c r="D212" s="22" t="s">
        <v>12</v>
      </c>
      <c r="E212" s="23">
        <f t="shared" si="11"/>
        <v>4.5999999999999996</v>
      </c>
      <c r="F212" s="22">
        <v>3.76</v>
      </c>
      <c r="G212" s="23">
        <v>4.5999999999999996</v>
      </c>
      <c r="H212" s="25">
        <f>+E212/4.91</f>
        <v>0.93686354378818726</v>
      </c>
      <c r="I212" s="22">
        <v>3.15</v>
      </c>
    </row>
    <row r="213" spans="1:9" x14ac:dyDescent="0.2">
      <c r="A213" s="22" t="s">
        <v>222</v>
      </c>
      <c r="B213" s="22" t="s">
        <v>12</v>
      </c>
      <c r="C213" s="22" t="s">
        <v>12</v>
      </c>
      <c r="D213" s="22" t="s">
        <v>12</v>
      </c>
      <c r="E213" s="23">
        <f t="shared" si="11"/>
        <v>4.5999999999999996</v>
      </c>
      <c r="F213" s="22">
        <v>3.76</v>
      </c>
      <c r="G213" s="23">
        <v>4.5999999999999996</v>
      </c>
      <c r="H213" s="25">
        <f>+E213/4.91</f>
        <v>0.93686354378818726</v>
      </c>
      <c r="I213" s="23">
        <v>3.2</v>
      </c>
    </row>
    <row r="214" spans="1:9" x14ac:dyDescent="0.2">
      <c r="A214" s="5" t="s">
        <v>223</v>
      </c>
      <c r="B214" s="5" t="s">
        <v>12</v>
      </c>
      <c r="C214" s="5" t="s">
        <v>12</v>
      </c>
      <c r="D214" s="5" t="s">
        <v>12</v>
      </c>
      <c r="E214" s="11">
        <f t="shared" si="11"/>
        <v>4.5999999999999996</v>
      </c>
      <c r="F214" s="5">
        <v>3.76</v>
      </c>
      <c r="G214" s="11">
        <v>4.5999999999999996</v>
      </c>
      <c r="H214" s="12">
        <f>+E214/4.93</f>
        <v>0.93306288032454354</v>
      </c>
      <c r="I214" s="11">
        <v>3.25</v>
      </c>
    </row>
    <row r="215" spans="1:9" x14ac:dyDescent="0.2">
      <c r="A215" s="5" t="s">
        <v>224</v>
      </c>
      <c r="B215" s="5" t="s">
        <v>12</v>
      </c>
      <c r="C215" s="5" t="s">
        <v>12</v>
      </c>
      <c r="D215" s="5" t="s">
        <v>12</v>
      </c>
      <c r="E215" s="11">
        <f t="shared" si="11"/>
        <v>4.5999999999999996</v>
      </c>
      <c r="F215" s="5">
        <v>3.76</v>
      </c>
      <c r="G215" s="11">
        <v>4.5999999999999996</v>
      </c>
      <c r="H215" s="12">
        <f>+E215/4.95</f>
        <v>0.92929292929292917</v>
      </c>
      <c r="I215" s="11">
        <v>3.29</v>
      </c>
    </row>
    <row r="216" spans="1:9" x14ac:dyDescent="0.2">
      <c r="A216" s="5" t="s">
        <v>225</v>
      </c>
      <c r="B216" s="5" t="s">
        <v>12</v>
      </c>
      <c r="C216" s="5" t="s">
        <v>12</v>
      </c>
      <c r="D216" s="5" t="s">
        <v>12</v>
      </c>
      <c r="E216" s="11">
        <v>4.5999999999999996</v>
      </c>
      <c r="F216" s="11">
        <v>3.76</v>
      </c>
      <c r="G216" s="11">
        <v>4.5999999999999996</v>
      </c>
      <c r="H216" s="12">
        <f>+E216/4.96</f>
        <v>0.92741935483870963</v>
      </c>
      <c r="I216" s="5">
        <v>3.29</v>
      </c>
    </row>
    <row r="217" spans="1:9" x14ac:dyDescent="0.2">
      <c r="A217" s="5" t="s">
        <v>226</v>
      </c>
      <c r="B217" s="5" t="s">
        <v>12</v>
      </c>
      <c r="C217" s="5" t="s">
        <v>12</v>
      </c>
      <c r="D217" s="5" t="s">
        <v>12</v>
      </c>
      <c r="E217" s="11">
        <v>4.5999999999999996</v>
      </c>
      <c r="F217" s="11">
        <v>3.76</v>
      </c>
      <c r="G217" s="11">
        <v>4.5999999999999996</v>
      </c>
      <c r="H217" s="12">
        <f>+E217/4.97</f>
        <v>0.92555331991951706</v>
      </c>
      <c r="I217" s="5">
        <v>3.29</v>
      </c>
    </row>
    <row r="218" spans="1:9" x14ac:dyDescent="0.2">
      <c r="A218" s="5" t="s">
        <v>227</v>
      </c>
      <c r="B218" s="5" t="s">
        <v>12</v>
      </c>
      <c r="C218" s="5" t="s">
        <v>12</v>
      </c>
      <c r="D218" s="5" t="s">
        <v>12</v>
      </c>
      <c r="E218" s="11">
        <v>4.5999999999999996</v>
      </c>
      <c r="F218" s="11">
        <v>3.76</v>
      </c>
      <c r="G218" s="11">
        <v>4.5999999999999996</v>
      </c>
      <c r="H218" s="12">
        <f>+E218/4.97</f>
        <v>0.92555331991951706</v>
      </c>
      <c r="I218" s="5">
        <v>3.22</v>
      </c>
    </row>
    <row r="219" spans="1:9" x14ac:dyDescent="0.2">
      <c r="A219" s="5" t="s">
        <v>228</v>
      </c>
      <c r="B219" s="5" t="s">
        <v>12</v>
      </c>
      <c r="C219" s="5" t="s">
        <v>12</v>
      </c>
      <c r="D219" s="5" t="s">
        <v>12</v>
      </c>
      <c r="E219" s="11">
        <v>4.5999999999999996</v>
      </c>
      <c r="F219" s="11">
        <v>3.76</v>
      </c>
      <c r="G219" s="11">
        <v>4.5999999999999996</v>
      </c>
      <c r="H219" s="12">
        <f>+E219/5</f>
        <v>0.91999999999999993</v>
      </c>
      <c r="I219" s="5">
        <v>3.31</v>
      </c>
    </row>
    <row r="220" spans="1:9" x14ac:dyDescent="0.2">
      <c r="A220" s="5" t="s">
        <v>229</v>
      </c>
      <c r="B220" s="5" t="s">
        <v>12</v>
      </c>
      <c r="C220" s="5" t="s">
        <v>12</v>
      </c>
      <c r="D220" s="5" t="s">
        <v>12</v>
      </c>
      <c r="E220" s="11">
        <v>4.5999999999999996</v>
      </c>
      <c r="F220" s="11">
        <v>3.76</v>
      </c>
      <c r="G220" s="11">
        <v>4.5999999999999996</v>
      </c>
      <c r="H220" s="12">
        <f>+E220/5.01</f>
        <v>0.91816367265469057</v>
      </c>
      <c r="I220" s="5">
        <v>3.31</v>
      </c>
    </row>
    <row r="221" spans="1:9" x14ac:dyDescent="0.2">
      <c r="A221" s="5" t="s">
        <v>230</v>
      </c>
      <c r="B221" s="5" t="s">
        <v>12</v>
      </c>
      <c r="C221" s="5" t="s">
        <v>12</v>
      </c>
      <c r="D221" s="5" t="s">
        <v>12</v>
      </c>
      <c r="E221" s="11">
        <v>4.5999999999999996</v>
      </c>
      <c r="F221" s="11">
        <v>3.76</v>
      </c>
      <c r="G221" s="11">
        <v>4.5999999999999996</v>
      </c>
      <c r="H221" s="12">
        <f>+E221/5.03</f>
        <v>0.91451292246520866</v>
      </c>
      <c r="I221" s="5">
        <v>3.34</v>
      </c>
    </row>
    <row r="222" spans="1:9" x14ac:dyDescent="0.2">
      <c r="A222" s="5" t="s">
        <v>231</v>
      </c>
      <c r="B222" s="5" t="s">
        <v>12</v>
      </c>
      <c r="C222" s="5" t="s">
        <v>12</v>
      </c>
      <c r="D222" s="5" t="s">
        <v>12</v>
      </c>
      <c r="E222" s="11">
        <v>4.5999999999999996</v>
      </c>
      <c r="F222" s="11">
        <v>3.76</v>
      </c>
      <c r="G222" s="11">
        <v>4.5999999999999996</v>
      </c>
      <c r="H222" s="12">
        <f>+E222/5.05</f>
        <v>0.91089108910891081</v>
      </c>
      <c r="I222" s="5">
        <v>3.32</v>
      </c>
    </row>
    <row r="223" spans="1:9" x14ac:dyDescent="0.2">
      <c r="A223" s="5" t="s">
        <v>232</v>
      </c>
      <c r="B223" s="5" t="s">
        <v>12</v>
      </c>
      <c r="C223" s="5" t="s">
        <v>12</v>
      </c>
      <c r="D223" s="5" t="s">
        <v>12</v>
      </c>
      <c r="E223" s="11">
        <v>4.5999999999999996</v>
      </c>
      <c r="F223" s="11">
        <v>3.76</v>
      </c>
      <c r="G223" s="11">
        <v>4.5999999999999996</v>
      </c>
      <c r="H223" s="12">
        <f>+E223/5.05</f>
        <v>0.91089108910891081</v>
      </c>
      <c r="I223" s="5">
        <v>3.32</v>
      </c>
    </row>
    <row r="224" spans="1:9" x14ac:dyDescent="0.2">
      <c r="A224" s="5" t="s">
        <v>233</v>
      </c>
      <c r="B224" s="5" t="s">
        <v>12</v>
      </c>
      <c r="C224" s="5" t="s">
        <v>12</v>
      </c>
      <c r="D224" s="5" t="s">
        <v>12</v>
      </c>
      <c r="E224" s="11">
        <v>4.5999999999999996</v>
      </c>
      <c r="F224" s="11">
        <v>3.76</v>
      </c>
      <c r="G224" s="11">
        <v>4.5999999999999996</v>
      </c>
      <c r="H224" s="12">
        <f>+E224/5.09</f>
        <v>0.90373280943025536</v>
      </c>
      <c r="I224" s="5">
        <v>3.35</v>
      </c>
    </row>
    <row r="225" spans="1:9" x14ac:dyDescent="0.2">
      <c r="A225" s="5" t="s">
        <v>234</v>
      </c>
      <c r="B225" s="5" t="s">
        <v>12</v>
      </c>
      <c r="C225" s="5" t="s">
        <v>12</v>
      </c>
      <c r="D225" s="5" t="s">
        <v>12</v>
      </c>
      <c r="E225" s="11">
        <v>4.5999999999999996</v>
      </c>
      <c r="F225" s="11">
        <v>3.76</v>
      </c>
      <c r="G225" s="11">
        <v>4.5999999999999996</v>
      </c>
      <c r="H225" s="12">
        <f>+E225/5.1</f>
        <v>0.90196078431372551</v>
      </c>
      <c r="I225" s="5">
        <v>3.39</v>
      </c>
    </row>
    <row r="226" spans="1:9" x14ac:dyDescent="0.2">
      <c r="A226" s="5" t="s">
        <v>235</v>
      </c>
      <c r="B226" s="5" t="s">
        <v>12</v>
      </c>
      <c r="C226" s="5" t="s">
        <v>12</v>
      </c>
      <c r="D226" s="5" t="s">
        <v>12</v>
      </c>
      <c r="E226" s="11">
        <v>4.5999999999999996</v>
      </c>
      <c r="F226" s="11">
        <v>3.76</v>
      </c>
      <c r="G226" s="11">
        <v>4.5999999999999996</v>
      </c>
      <c r="H226" s="12">
        <f>+E226/5.12</f>
        <v>0.89843749999999989</v>
      </c>
      <c r="I226" s="5">
        <v>3.46</v>
      </c>
    </row>
    <row r="227" spans="1:9" x14ac:dyDescent="0.2">
      <c r="A227" s="11" t="s">
        <v>236</v>
      </c>
      <c r="B227" s="5" t="s">
        <v>12</v>
      </c>
      <c r="C227" s="5" t="s">
        <v>12</v>
      </c>
      <c r="D227" s="5" t="s">
        <v>12</v>
      </c>
      <c r="E227" s="11">
        <v>4.5999999999999996</v>
      </c>
      <c r="F227" s="11">
        <v>3.76</v>
      </c>
      <c r="G227" s="11">
        <v>4.5999999999999996</v>
      </c>
      <c r="H227" s="12">
        <f>+E227/5.14</f>
        <v>0.89494163424124518</v>
      </c>
      <c r="I227" s="5">
        <v>3.46</v>
      </c>
    </row>
    <row r="228" spans="1:9" x14ac:dyDescent="0.2">
      <c r="A228" s="9" t="s">
        <v>237</v>
      </c>
      <c r="B228" s="5" t="s">
        <v>12</v>
      </c>
      <c r="C228" s="5" t="s">
        <v>12</v>
      </c>
      <c r="D228" s="5" t="s">
        <v>12</v>
      </c>
      <c r="E228" s="11">
        <v>4.5999999999999996</v>
      </c>
      <c r="F228" s="11">
        <v>3.76</v>
      </c>
      <c r="G228" s="11">
        <v>4.5999999999999996</v>
      </c>
      <c r="H228" s="12">
        <f>+E228/5.15</f>
        <v>0.89320388349514546</v>
      </c>
      <c r="I228" s="5">
        <v>3.57</v>
      </c>
    </row>
    <row r="229" spans="1:9" x14ac:dyDescent="0.2">
      <c r="A229" s="5" t="s">
        <v>238</v>
      </c>
      <c r="B229" s="5" t="s">
        <v>12</v>
      </c>
      <c r="C229" s="5" t="s">
        <v>12</v>
      </c>
      <c r="D229" s="5" t="s">
        <v>12</v>
      </c>
      <c r="E229" s="11">
        <v>4.5999999999999996</v>
      </c>
      <c r="F229" s="11">
        <v>3.76</v>
      </c>
      <c r="G229" s="11">
        <v>4.5999999999999996</v>
      </c>
      <c r="H229" s="12">
        <f>+E229/5.15</f>
        <v>0.89320388349514546</v>
      </c>
      <c r="I229" s="5">
        <v>3.59</v>
      </c>
    </row>
    <row r="230" spans="1:9" x14ac:dyDescent="0.2">
      <c r="A230" s="5" t="s">
        <v>239</v>
      </c>
      <c r="B230" s="5" t="s">
        <v>12</v>
      </c>
      <c r="C230" s="5" t="s">
        <v>12</v>
      </c>
      <c r="D230" s="5" t="s">
        <v>12</v>
      </c>
      <c r="E230" s="11">
        <v>4.9000000000000004</v>
      </c>
      <c r="F230" s="11">
        <v>4.05</v>
      </c>
      <c r="G230" s="11">
        <v>4.9000000000000004</v>
      </c>
      <c r="H230" s="12">
        <f>+E230/5.18</f>
        <v>0.94594594594594605</v>
      </c>
      <c r="I230" s="5">
        <v>3.57</v>
      </c>
    </row>
    <row r="231" spans="1:9" x14ac:dyDescent="0.2">
      <c r="A231" s="5" t="s">
        <v>240</v>
      </c>
      <c r="B231" s="5" t="s">
        <v>12</v>
      </c>
      <c r="C231" s="5" t="s">
        <v>12</v>
      </c>
      <c r="D231" s="5" t="s">
        <v>12</v>
      </c>
      <c r="E231" s="11">
        <v>4.9000000000000004</v>
      </c>
      <c r="F231" s="11">
        <v>4.05</v>
      </c>
      <c r="G231" s="11">
        <v>4.9000000000000004</v>
      </c>
      <c r="H231" s="12">
        <f>+E231/5.19</f>
        <v>0.94412331406551064</v>
      </c>
      <c r="I231" s="5">
        <v>3.53</v>
      </c>
    </row>
    <row r="232" spans="1:9" x14ac:dyDescent="0.2">
      <c r="A232" s="5" t="s">
        <v>241</v>
      </c>
      <c r="B232" s="5" t="s">
        <v>12</v>
      </c>
      <c r="C232" s="5" t="s">
        <v>12</v>
      </c>
      <c r="D232" s="5" t="s">
        <v>12</v>
      </c>
      <c r="E232" s="11">
        <v>4.9000000000000004</v>
      </c>
      <c r="F232" s="11">
        <v>4.05</v>
      </c>
      <c r="G232" s="11">
        <v>4.9000000000000004</v>
      </c>
      <c r="H232" s="12">
        <f>+E232/5.22</f>
        <v>0.93869731800766298</v>
      </c>
      <c r="I232" s="5">
        <v>3.52</v>
      </c>
    </row>
    <row r="233" spans="1:9" x14ac:dyDescent="0.2">
      <c r="A233" s="5" t="s">
        <v>242</v>
      </c>
      <c r="B233" s="5" t="s">
        <v>12</v>
      </c>
      <c r="C233" s="5" t="s">
        <v>12</v>
      </c>
      <c r="D233" s="5" t="s">
        <v>12</v>
      </c>
      <c r="E233" s="11">
        <v>4.9000000000000004</v>
      </c>
      <c r="F233" s="11">
        <v>4.05</v>
      </c>
      <c r="G233" s="11">
        <v>4.9000000000000004</v>
      </c>
      <c r="H233" s="12">
        <f>+E233/5.24</f>
        <v>0.93511450381679395</v>
      </c>
      <c r="I233" s="11">
        <v>3.5</v>
      </c>
    </row>
    <row r="234" spans="1:9" x14ac:dyDescent="0.2">
      <c r="A234" s="5" t="s">
        <v>243</v>
      </c>
      <c r="B234" s="5" t="s">
        <v>12</v>
      </c>
      <c r="C234" s="5" t="s">
        <v>12</v>
      </c>
      <c r="D234" s="5" t="s">
        <v>12</v>
      </c>
      <c r="E234" s="11">
        <v>5.0999999999999996</v>
      </c>
      <c r="F234" s="11">
        <v>4.25</v>
      </c>
      <c r="G234" s="11">
        <v>5.0999999999999996</v>
      </c>
      <c r="H234" s="12">
        <f>+E234/5.26</f>
        <v>0.96958174904942962</v>
      </c>
      <c r="I234" s="5">
        <v>3.39</v>
      </c>
    </row>
    <row r="235" spans="1:9" x14ac:dyDescent="0.2">
      <c r="A235" s="5" t="s">
        <v>244</v>
      </c>
      <c r="B235" s="5" t="s">
        <v>12</v>
      </c>
      <c r="C235" s="5" t="s">
        <v>12</v>
      </c>
      <c r="D235" s="5" t="s">
        <v>12</v>
      </c>
      <c r="E235" s="11">
        <v>5.0999999999999996</v>
      </c>
      <c r="F235" s="11">
        <v>4.25</v>
      </c>
      <c r="G235" s="11">
        <v>5.0999999999999996</v>
      </c>
      <c r="H235" s="12">
        <f>+E235/5.29</f>
        <v>0.96408317580340253</v>
      </c>
      <c r="I235" s="5">
        <v>3.39</v>
      </c>
    </row>
    <row r="236" spans="1:9" x14ac:dyDescent="0.2">
      <c r="A236" s="5" t="s">
        <v>245</v>
      </c>
      <c r="B236" s="5" t="s">
        <v>12</v>
      </c>
      <c r="C236" s="5" t="s">
        <v>12</v>
      </c>
      <c r="D236" s="5" t="s">
        <v>12</v>
      </c>
      <c r="E236" s="11">
        <f>+(5.8+5)/2</f>
        <v>5.4</v>
      </c>
      <c r="F236" s="5">
        <v>4.54</v>
      </c>
      <c r="G236" s="11">
        <f>(5.8+5)/2</f>
        <v>5.4</v>
      </c>
      <c r="H236" s="12">
        <f>+E236/5.271</f>
        <v>1.0244735344336939</v>
      </c>
      <c r="I236" s="5">
        <v>3.55</v>
      </c>
    </row>
    <row r="237" spans="1:9" x14ac:dyDescent="0.2">
      <c r="A237" s="5" t="s">
        <v>246</v>
      </c>
      <c r="B237" s="5" t="s">
        <v>12</v>
      </c>
      <c r="C237" s="5" t="s">
        <v>12</v>
      </c>
      <c r="D237" s="5" t="s">
        <v>12</v>
      </c>
      <c r="E237" s="11">
        <f>(6.1+5.3)/2</f>
        <v>5.6999999999999993</v>
      </c>
      <c r="F237" s="11">
        <f>+(5.3+4.93+4.7+4.37)/4</f>
        <v>4.8250000000000002</v>
      </c>
      <c r="G237" s="11">
        <f>(6.1+5.3)/2</f>
        <v>5.6999999999999993</v>
      </c>
      <c r="H237" s="12">
        <f>+E237/5.39</f>
        <v>1.0575139146567718</v>
      </c>
      <c r="I237" s="5">
        <v>3.62</v>
      </c>
    </row>
    <row r="238" spans="1:9" x14ac:dyDescent="0.2">
      <c r="A238" s="5" t="s">
        <v>247</v>
      </c>
      <c r="B238" s="5" t="s">
        <v>12</v>
      </c>
      <c r="C238" s="5" t="s">
        <v>12</v>
      </c>
      <c r="D238" s="5" t="s">
        <v>12</v>
      </c>
      <c r="E238" s="5" t="s">
        <v>12</v>
      </c>
      <c r="F238" s="5" t="s">
        <v>12</v>
      </c>
      <c r="G238" s="5" t="s">
        <v>12</v>
      </c>
      <c r="H238" s="5" t="s">
        <v>12</v>
      </c>
      <c r="I238" s="5" t="s">
        <v>12</v>
      </c>
    </row>
    <row r="239" spans="1:9" x14ac:dyDescent="0.2">
      <c r="A239" s="13">
        <v>41453</v>
      </c>
      <c r="B239" s="5" t="s">
        <v>12</v>
      </c>
      <c r="C239" s="5" t="s">
        <v>12</v>
      </c>
      <c r="D239" s="5" t="s">
        <v>12</v>
      </c>
      <c r="E239" s="11">
        <f t="shared" ref="E239:E248" si="12">(6.1+5.3)/2</f>
        <v>5.6999999999999993</v>
      </c>
      <c r="F239" s="11">
        <f t="shared" ref="F239:F247" si="13">+(5.3+4.93+4.7+4.37)/4</f>
        <v>4.8250000000000002</v>
      </c>
      <c r="G239" s="11">
        <f t="shared" ref="G239:G248" si="14">(6.1+5.3)/2</f>
        <v>5.6999999999999993</v>
      </c>
      <c r="H239" s="12">
        <f>+E239/5.35</f>
        <v>1.0654205607476634</v>
      </c>
      <c r="I239" s="5">
        <v>3.61</v>
      </c>
    </row>
    <row r="240" spans="1:9" x14ac:dyDescent="0.2">
      <c r="A240" s="13">
        <v>41460</v>
      </c>
      <c r="B240" s="5" t="s">
        <v>12</v>
      </c>
      <c r="C240" s="5" t="s">
        <v>12</v>
      </c>
      <c r="D240" s="5" t="s">
        <v>12</v>
      </c>
      <c r="E240" s="11">
        <f t="shared" si="12"/>
        <v>5.6999999999999993</v>
      </c>
      <c r="F240" s="11">
        <f t="shared" si="13"/>
        <v>4.8250000000000002</v>
      </c>
      <c r="G240" s="11">
        <f t="shared" si="14"/>
        <v>5.6999999999999993</v>
      </c>
      <c r="H240" s="12">
        <f>+E240/5.378</f>
        <v>1.0598735589438451</v>
      </c>
      <c r="I240" s="5">
        <v>3.68</v>
      </c>
    </row>
    <row r="241" spans="1:9" x14ac:dyDescent="0.2">
      <c r="A241" s="13">
        <v>41467</v>
      </c>
      <c r="B241" s="5" t="s">
        <v>12</v>
      </c>
      <c r="C241" s="5" t="s">
        <v>12</v>
      </c>
      <c r="D241" s="5" t="s">
        <v>12</v>
      </c>
      <c r="E241" s="11">
        <f t="shared" si="12"/>
        <v>5.6999999999999993</v>
      </c>
      <c r="F241" s="11">
        <f t="shared" si="13"/>
        <v>4.8250000000000002</v>
      </c>
      <c r="G241" s="11">
        <f t="shared" si="14"/>
        <v>5.6999999999999993</v>
      </c>
      <c r="H241" s="12">
        <f>+E241/5.393</f>
        <v>1.0569256443537918</v>
      </c>
      <c r="I241" s="11">
        <v>3.6080294530660315</v>
      </c>
    </row>
    <row r="242" spans="1:9" x14ac:dyDescent="0.2">
      <c r="A242" s="13">
        <v>41474</v>
      </c>
      <c r="B242" s="5" t="s">
        <v>12</v>
      </c>
      <c r="C242" s="5" t="s">
        <v>12</v>
      </c>
      <c r="D242" s="5" t="s">
        <v>12</v>
      </c>
      <c r="E242" s="11">
        <f t="shared" si="12"/>
        <v>5.6999999999999993</v>
      </c>
      <c r="F242" s="11">
        <f t="shared" si="13"/>
        <v>4.8250000000000002</v>
      </c>
      <c r="G242" s="11">
        <f t="shared" si="14"/>
        <v>5.6999999999999993</v>
      </c>
      <c r="H242" s="12">
        <f>+E242/5.42</f>
        <v>1.051660516605166</v>
      </c>
      <c r="I242" s="11">
        <v>3.61</v>
      </c>
    </row>
    <row r="243" spans="1:9" x14ac:dyDescent="0.2">
      <c r="A243" s="13">
        <v>41481</v>
      </c>
      <c r="B243" s="5" t="s">
        <v>12</v>
      </c>
      <c r="C243" s="5" t="s">
        <v>12</v>
      </c>
      <c r="D243" s="5" t="s">
        <v>12</v>
      </c>
      <c r="E243" s="11">
        <f t="shared" si="12"/>
        <v>5.6999999999999993</v>
      </c>
      <c r="F243" s="11">
        <f t="shared" si="13"/>
        <v>4.8250000000000002</v>
      </c>
      <c r="G243" s="11">
        <f t="shared" si="14"/>
        <v>5.6999999999999993</v>
      </c>
      <c r="H243" s="12">
        <f>+G243/5.45</f>
        <v>1.0458715596330272</v>
      </c>
      <c r="I243" s="11">
        <v>3.59</v>
      </c>
    </row>
    <row r="244" spans="1:9" x14ac:dyDescent="0.2">
      <c r="A244" s="13">
        <v>41488</v>
      </c>
      <c r="B244" s="5" t="s">
        <v>12</v>
      </c>
      <c r="C244" s="5" t="s">
        <v>12</v>
      </c>
      <c r="D244" s="5" t="s">
        <v>12</v>
      </c>
      <c r="E244" s="11">
        <f t="shared" si="12"/>
        <v>5.6999999999999993</v>
      </c>
      <c r="F244" s="11">
        <f t="shared" si="13"/>
        <v>4.8250000000000002</v>
      </c>
      <c r="G244" s="11">
        <f t="shared" si="14"/>
        <v>5.6999999999999993</v>
      </c>
      <c r="H244" s="12">
        <f>+G244/5.485</f>
        <v>1.039197812215132</v>
      </c>
      <c r="I244" s="11">
        <v>3.54</v>
      </c>
    </row>
    <row r="245" spans="1:9" x14ac:dyDescent="0.2">
      <c r="A245" s="13">
        <v>41495</v>
      </c>
      <c r="B245" s="5" t="s">
        <v>12</v>
      </c>
      <c r="C245" s="5" t="s">
        <v>12</v>
      </c>
      <c r="D245" s="5" t="s">
        <v>12</v>
      </c>
      <c r="E245" s="11">
        <f t="shared" si="12"/>
        <v>5.6999999999999993</v>
      </c>
      <c r="F245" s="11">
        <f t="shared" si="13"/>
        <v>4.8250000000000002</v>
      </c>
      <c r="G245" s="11">
        <f t="shared" si="14"/>
        <v>5.6999999999999993</v>
      </c>
      <c r="H245" s="12">
        <f>+G245/5.51</f>
        <v>1.0344827586206895</v>
      </c>
      <c r="I245" s="5" t="s">
        <v>12</v>
      </c>
    </row>
    <row r="246" spans="1:9" x14ac:dyDescent="0.2">
      <c r="A246" s="13">
        <v>41502</v>
      </c>
      <c r="B246" s="5" t="s">
        <v>12</v>
      </c>
      <c r="C246" s="5" t="s">
        <v>12</v>
      </c>
      <c r="D246" s="5" t="s">
        <v>12</v>
      </c>
      <c r="E246" s="11">
        <f t="shared" si="12"/>
        <v>5.6999999999999993</v>
      </c>
      <c r="F246" s="11">
        <f t="shared" si="13"/>
        <v>4.8250000000000002</v>
      </c>
      <c r="G246" s="11">
        <f t="shared" si="14"/>
        <v>5.6999999999999993</v>
      </c>
      <c r="H246" s="12">
        <f>+E246/5.548</f>
        <v>1.0273972602739725</v>
      </c>
      <c r="I246" s="5">
        <v>3.46</v>
      </c>
    </row>
    <row r="247" spans="1:9" x14ac:dyDescent="0.2">
      <c r="A247" s="13">
        <v>41509</v>
      </c>
      <c r="B247" s="5" t="s">
        <v>12</v>
      </c>
      <c r="C247" s="5" t="s">
        <v>12</v>
      </c>
      <c r="D247" s="5" t="s">
        <v>12</v>
      </c>
      <c r="E247" s="11">
        <f t="shared" si="12"/>
        <v>5.6999999999999993</v>
      </c>
      <c r="F247" s="11">
        <f t="shared" si="13"/>
        <v>4.8250000000000002</v>
      </c>
      <c r="G247" s="11">
        <f t="shared" si="14"/>
        <v>5.6999999999999993</v>
      </c>
      <c r="H247" s="12">
        <f>+E247/5.583</f>
        <v>1.0209564750134335</v>
      </c>
      <c r="I247" s="5">
        <v>3.43</v>
      </c>
    </row>
    <row r="248" spans="1:9" x14ac:dyDescent="0.2">
      <c r="A248" s="13">
        <v>41516</v>
      </c>
      <c r="B248" s="5" t="s">
        <v>12</v>
      </c>
      <c r="C248" s="5" t="s">
        <v>12</v>
      </c>
      <c r="D248" s="5" t="s">
        <v>12</v>
      </c>
      <c r="E248" s="11">
        <f t="shared" si="12"/>
        <v>5.6999999999999993</v>
      </c>
      <c r="F248" s="11">
        <f>+(5.3+4.93+4.7+4.37)/4</f>
        <v>4.8250000000000002</v>
      </c>
      <c r="G248" s="11">
        <f t="shared" si="14"/>
        <v>5.6999999999999993</v>
      </c>
      <c r="H248" s="12">
        <f>+E248/5.63</f>
        <v>1.0124333925399644</v>
      </c>
      <c r="I248" s="5">
        <v>3.34</v>
      </c>
    </row>
    <row r="249" spans="1:9" x14ac:dyDescent="0.2">
      <c r="A249" s="13">
        <v>41523</v>
      </c>
      <c r="B249" s="5" t="s">
        <v>12</v>
      </c>
      <c r="C249" s="5" t="s">
        <v>12</v>
      </c>
      <c r="D249" s="5" t="s">
        <v>12</v>
      </c>
      <c r="E249" s="11">
        <f>(6.3+5.5)/2</f>
        <v>5.9</v>
      </c>
      <c r="F249" s="11">
        <f>+(5.5+5.11+4.9+4.56)/4</f>
        <v>5.0175000000000001</v>
      </c>
      <c r="G249" s="11">
        <f>(6.3+5.5)/2</f>
        <v>5.9</v>
      </c>
      <c r="H249" s="12">
        <f>+E249/5.68</f>
        <v>1.0387323943661972</v>
      </c>
      <c r="I249" s="5">
        <v>3.32</v>
      </c>
    </row>
    <row r="250" spans="1:9" x14ac:dyDescent="0.2">
      <c r="A250" s="13">
        <v>41530</v>
      </c>
      <c r="B250" s="5" t="s">
        <v>12</v>
      </c>
      <c r="C250" s="5" t="s">
        <v>12</v>
      </c>
      <c r="D250" s="5" t="s">
        <v>12</v>
      </c>
      <c r="E250" s="11">
        <f>(6.6+5.8)/2</f>
        <v>6.1999999999999993</v>
      </c>
      <c r="F250" s="11">
        <f>+(5.8+5.39+5.2+4.84)/4</f>
        <v>5.3075000000000001</v>
      </c>
      <c r="G250" s="11">
        <f>(6.6+5.8)/2</f>
        <v>6.1999999999999993</v>
      </c>
      <c r="H250" s="12">
        <f>+E250/5.7</f>
        <v>1.0877192982456139</v>
      </c>
      <c r="I250" s="5">
        <v>3.32</v>
      </c>
    </row>
    <row r="251" spans="1:9" x14ac:dyDescent="0.2">
      <c r="A251" s="13">
        <v>41537</v>
      </c>
      <c r="B251" s="5" t="s">
        <v>12</v>
      </c>
      <c r="C251" s="5" t="s">
        <v>12</v>
      </c>
      <c r="D251" s="5" t="s">
        <v>12</v>
      </c>
      <c r="E251" s="5" t="s">
        <v>12</v>
      </c>
      <c r="F251" s="5" t="s">
        <v>12</v>
      </c>
      <c r="G251" s="5" t="s">
        <v>12</v>
      </c>
      <c r="H251" s="5" t="s">
        <v>12</v>
      </c>
      <c r="I251" s="5" t="s">
        <v>12</v>
      </c>
    </row>
    <row r="252" spans="1:9" x14ac:dyDescent="0.2">
      <c r="A252" s="13">
        <v>41544</v>
      </c>
      <c r="B252" s="5" t="s">
        <v>12</v>
      </c>
      <c r="C252" s="5" t="s">
        <v>12</v>
      </c>
      <c r="D252" s="5" t="s">
        <v>12</v>
      </c>
      <c r="E252" s="5" t="s">
        <v>12</v>
      </c>
      <c r="F252" s="5" t="s">
        <v>12</v>
      </c>
      <c r="G252" s="5" t="s">
        <v>12</v>
      </c>
      <c r="H252" s="5" t="s">
        <v>12</v>
      </c>
      <c r="I252" s="5" t="s">
        <v>12</v>
      </c>
    </row>
    <row r="253" spans="1:9" x14ac:dyDescent="0.2">
      <c r="A253" s="13">
        <v>41551</v>
      </c>
      <c r="B253" s="5" t="s">
        <v>12</v>
      </c>
      <c r="C253" s="5" t="s">
        <v>12</v>
      </c>
      <c r="D253" s="5" t="s">
        <v>12</v>
      </c>
      <c r="E253" s="11">
        <f>(8.5+7.7)/2</f>
        <v>8.1</v>
      </c>
      <c r="F253" s="11">
        <f>+(7.7+7.16+7.1+6.6)/4</f>
        <v>7.1400000000000006</v>
      </c>
      <c r="G253" s="11">
        <f>(8.5+7.7)/2</f>
        <v>8.1</v>
      </c>
      <c r="H253" s="12">
        <f>+E253/5.78</f>
        <v>1.4013840830449826</v>
      </c>
      <c r="I253" s="5" t="s">
        <v>12</v>
      </c>
    </row>
    <row r="254" spans="1:9" x14ac:dyDescent="0.2">
      <c r="A254" s="13">
        <v>41558</v>
      </c>
      <c r="B254" s="5" t="s">
        <v>12</v>
      </c>
      <c r="C254" s="5" t="s">
        <v>12</v>
      </c>
      <c r="D254" s="5" t="s">
        <v>12</v>
      </c>
      <c r="E254" s="11">
        <f>(8.8+8)/2</f>
        <v>8.4</v>
      </c>
      <c r="F254" s="11">
        <f>+(8+7.44+7.4+6.88)/4</f>
        <v>7.4300000000000006</v>
      </c>
      <c r="G254" s="11">
        <f>(8.8+8)/2</f>
        <v>8.4</v>
      </c>
      <c r="H254" s="12">
        <f>+E254/5.8</f>
        <v>1.4482758620689655</v>
      </c>
      <c r="I254" s="5" t="s">
        <v>12</v>
      </c>
    </row>
    <row r="255" spans="1:9" x14ac:dyDescent="0.2">
      <c r="A255" s="13">
        <v>41565</v>
      </c>
      <c r="B255" s="5" t="s">
        <v>12</v>
      </c>
      <c r="C255" s="5" t="s">
        <v>12</v>
      </c>
      <c r="D255" s="5" t="s">
        <v>12</v>
      </c>
      <c r="E255" s="11">
        <f>(8.8+8)/2</f>
        <v>8.4</v>
      </c>
      <c r="F255" s="11">
        <f>+(8+7.44+7.4+6.88)/4</f>
        <v>7.4300000000000006</v>
      </c>
      <c r="G255" s="11">
        <f>(8.8+8)/2</f>
        <v>8.4</v>
      </c>
      <c r="H255" s="12">
        <f>+E255/5.83</f>
        <v>1.4408233276157805</v>
      </c>
      <c r="I255" s="5" t="s">
        <v>12</v>
      </c>
    </row>
    <row r="256" spans="1:9" x14ac:dyDescent="0.2">
      <c r="A256" s="13">
        <v>41572</v>
      </c>
      <c r="B256" s="5" t="s">
        <v>12</v>
      </c>
      <c r="C256" s="5" t="s">
        <v>12</v>
      </c>
      <c r="D256" s="5" t="s">
        <v>12</v>
      </c>
      <c r="E256" s="11">
        <f>(9.2+8.4)/2</f>
        <v>8.8000000000000007</v>
      </c>
      <c r="F256" s="11">
        <f>+(8.4+7.81+7.8+7.25)/4</f>
        <v>7.8150000000000004</v>
      </c>
      <c r="G256" s="11">
        <f>(9.2+8.4)/2</f>
        <v>8.8000000000000007</v>
      </c>
      <c r="H256" s="12">
        <f>+E256/5.85</f>
        <v>1.5042735042735045</v>
      </c>
      <c r="I256" s="5" t="s">
        <v>12</v>
      </c>
    </row>
    <row r="257" spans="1:9" x14ac:dyDescent="0.2">
      <c r="A257" s="13">
        <v>41579</v>
      </c>
      <c r="B257" s="5" t="s">
        <v>12</v>
      </c>
      <c r="C257" s="5" t="s">
        <v>12</v>
      </c>
      <c r="D257" s="5" t="s">
        <v>12</v>
      </c>
      <c r="E257" s="11">
        <f>(9.5+8.7)/2</f>
        <v>9.1</v>
      </c>
      <c r="F257" s="11">
        <f>+(8.7+8.09+8.1+7.53)/4</f>
        <v>8.1050000000000004</v>
      </c>
      <c r="G257" s="11">
        <f>(9.5+8.7)/2</f>
        <v>9.1</v>
      </c>
      <c r="H257" s="12">
        <f>+E257/5.9</f>
        <v>1.5423728813559321</v>
      </c>
      <c r="I257" s="5" t="s">
        <v>12</v>
      </c>
    </row>
    <row r="258" spans="1:9" x14ac:dyDescent="0.2">
      <c r="A258" s="13">
        <v>41586</v>
      </c>
      <c r="B258" s="5" t="s">
        <v>12</v>
      </c>
      <c r="C258" s="5" t="s">
        <v>12</v>
      </c>
      <c r="D258" s="5" t="s">
        <v>12</v>
      </c>
      <c r="E258" s="11">
        <f t="shared" ref="E258:E264" si="15">(9.9+9.1)/2</f>
        <v>9.5</v>
      </c>
      <c r="F258" s="11">
        <f t="shared" ref="F258:F264" si="16">+(9.1+8.46+8.5+7.9)/4</f>
        <v>8.49</v>
      </c>
      <c r="G258" s="11">
        <f t="shared" ref="G258:G264" si="17">(9.9+9.1)/2</f>
        <v>9.5</v>
      </c>
      <c r="H258" s="12">
        <f>+E258/5.93</f>
        <v>1.6020236087689714</v>
      </c>
      <c r="I258" s="5" t="s">
        <v>12</v>
      </c>
    </row>
    <row r="259" spans="1:9" x14ac:dyDescent="0.2">
      <c r="A259" s="13">
        <v>41593</v>
      </c>
      <c r="B259" s="5" t="s">
        <v>12</v>
      </c>
      <c r="C259" s="5" t="s">
        <v>12</v>
      </c>
      <c r="D259" s="5" t="s">
        <v>12</v>
      </c>
      <c r="E259" s="11">
        <f t="shared" si="15"/>
        <v>9.5</v>
      </c>
      <c r="F259" s="11">
        <f t="shared" si="16"/>
        <v>8.49</v>
      </c>
      <c r="G259" s="11">
        <f t="shared" si="17"/>
        <v>9.5</v>
      </c>
      <c r="H259" s="12">
        <f>+E259/5.96</f>
        <v>1.5939597315436242</v>
      </c>
      <c r="I259" s="5" t="s">
        <v>12</v>
      </c>
    </row>
    <row r="260" spans="1:9" x14ac:dyDescent="0.2">
      <c r="A260" s="13">
        <v>41600</v>
      </c>
      <c r="B260" s="5" t="s">
        <v>12</v>
      </c>
      <c r="C260" s="5" t="s">
        <v>12</v>
      </c>
      <c r="D260" s="5" t="s">
        <v>12</v>
      </c>
      <c r="E260" s="11">
        <f t="shared" si="15"/>
        <v>9.5</v>
      </c>
      <c r="F260" s="11">
        <f t="shared" si="16"/>
        <v>8.49</v>
      </c>
      <c r="G260" s="11">
        <f t="shared" si="17"/>
        <v>9.5</v>
      </c>
      <c r="H260" s="12">
        <f>+E260/6.02</f>
        <v>1.5780730897009967</v>
      </c>
      <c r="I260" s="11">
        <v>3.5</v>
      </c>
    </row>
    <row r="261" spans="1:9" x14ac:dyDescent="0.2">
      <c r="A261" s="13">
        <v>41607</v>
      </c>
      <c r="B261" s="5" t="s">
        <v>12</v>
      </c>
      <c r="C261" s="5" t="s">
        <v>12</v>
      </c>
      <c r="D261" s="5" t="s">
        <v>12</v>
      </c>
      <c r="E261" s="11">
        <f t="shared" si="15"/>
        <v>9.5</v>
      </c>
      <c r="F261" s="11">
        <f t="shared" si="16"/>
        <v>8.49</v>
      </c>
      <c r="G261" s="11">
        <f t="shared" si="17"/>
        <v>9.5</v>
      </c>
      <c r="H261" s="12">
        <f>+E261/6.09</f>
        <v>1.5599343185550083</v>
      </c>
      <c r="I261" s="5" t="s">
        <v>12</v>
      </c>
    </row>
    <row r="262" spans="1:9" x14ac:dyDescent="0.2">
      <c r="A262" s="13">
        <v>41614</v>
      </c>
      <c r="B262" s="5" t="s">
        <v>12</v>
      </c>
      <c r="C262" s="5" t="s">
        <v>12</v>
      </c>
      <c r="D262" s="5" t="s">
        <v>12</v>
      </c>
      <c r="E262" s="11">
        <f t="shared" si="15"/>
        <v>9.5</v>
      </c>
      <c r="F262" s="11">
        <f t="shared" si="16"/>
        <v>8.49</v>
      </c>
      <c r="G262" s="11">
        <f t="shared" si="17"/>
        <v>9.5</v>
      </c>
      <c r="H262" s="12">
        <f>+E262/6.17</f>
        <v>1.5397082658022692</v>
      </c>
      <c r="I262" s="5">
        <v>3.62</v>
      </c>
    </row>
    <row r="263" spans="1:9" x14ac:dyDescent="0.2">
      <c r="A263" s="13">
        <v>41621</v>
      </c>
      <c r="B263" s="5" t="s">
        <v>12</v>
      </c>
      <c r="C263" s="5" t="s">
        <v>12</v>
      </c>
      <c r="D263" s="5" t="s">
        <v>12</v>
      </c>
      <c r="E263" s="11">
        <f t="shared" si="15"/>
        <v>9.5</v>
      </c>
      <c r="F263" s="11">
        <f t="shared" si="16"/>
        <v>8.49</v>
      </c>
      <c r="G263" s="11">
        <f t="shared" si="17"/>
        <v>9.5</v>
      </c>
      <c r="H263" s="12">
        <f>+E263/6.26</f>
        <v>1.5175718849840256</v>
      </c>
      <c r="I263" s="11">
        <v>3.5</v>
      </c>
    </row>
    <row r="264" spans="1:9" x14ac:dyDescent="0.2">
      <c r="A264" s="13">
        <v>41628</v>
      </c>
      <c r="B264" s="5" t="s">
        <v>12</v>
      </c>
      <c r="C264" s="5" t="s">
        <v>12</v>
      </c>
      <c r="D264" s="5" t="s">
        <v>12</v>
      </c>
      <c r="E264" s="11">
        <f t="shared" si="15"/>
        <v>9.5</v>
      </c>
      <c r="F264" s="11">
        <f t="shared" si="16"/>
        <v>8.49</v>
      </c>
      <c r="G264" s="11">
        <f t="shared" si="17"/>
        <v>9.5</v>
      </c>
      <c r="H264" s="12">
        <f>+E264/6.36</f>
        <v>1.4937106918238994</v>
      </c>
      <c r="I264" s="11">
        <v>3.52</v>
      </c>
    </row>
    <row r="265" spans="1:9" x14ac:dyDescent="0.2">
      <c r="A265" s="13">
        <v>41635</v>
      </c>
      <c r="B265" s="5" t="s">
        <v>12</v>
      </c>
      <c r="C265" s="5" t="s">
        <v>12</v>
      </c>
      <c r="D265" s="5" t="s">
        <v>12</v>
      </c>
      <c r="E265" s="5" t="s">
        <v>12</v>
      </c>
      <c r="F265" s="5" t="s">
        <v>12</v>
      </c>
      <c r="G265" s="5" t="s">
        <v>12</v>
      </c>
      <c r="H265" s="5" t="s">
        <v>12</v>
      </c>
      <c r="I265" s="5">
        <v>3.56</v>
      </c>
    </row>
    <row r="266" spans="1:9" x14ac:dyDescent="0.2">
      <c r="A266" s="21">
        <v>41642</v>
      </c>
      <c r="B266" s="22" t="s">
        <v>12</v>
      </c>
      <c r="C266" s="22" t="s">
        <v>12</v>
      </c>
      <c r="D266" s="22" t="s">
        <v>12</v>
      </c>
      <c r="E266" s="22" t="s">
        <v>12</v>
      </c>
      <c r="F266" s="22" t="s">
        <v>12</v>
      </c>
      <c r="G266" s="22" t="s">
        <v>12</v>
      </c>
      <c r="H266" s="22" t="s">
        <v>12</v>
      </c>
      <c r="I266" s="22">
        <v>3.56</v>
      </c>
    </row>
    <row r="267" spans="1:9" x14ac:dyDescent="0.2">
      <c r="A267" s="21">
        <v>41649</v>
      </c>
      <c r="B267" s="22" t="s">
        <v>12</v>
      </c>
      <c r="C267" s="22" t="s">
        <v>12</v>
      </c>
      <c r="D267" s="22" t="s">
        <v>12</v>
      </c>
      <c r="E267" s="23">
        <f>(11.6+11)/2</f>
        <v>11.3</v>
      </c>
      <c r="F267" s="23">
        <f>+(11+10.23+10.4+9.67)/4</f>
        <v>10.325000000000001</v>
      </c>
      <c r="G267" s="23">
        <f>(11.6+11)/2</f>
        <v>11.3</v>
      </c>
      <c r="H267" s="25">
        <f>+E267/6.59</f>
        <v>1.7147192716236723</v>
      </c>
      <c r="I267" s="22">
        <v>3.39</v>
      </c>
    </row>
    <row r="268" spans="1:9" x14ac:dyDescent="0.2">
      <c r="A268" s="21">
        <v>41656</v>
      </c>
      <c r="B268" s="22" t="s">
        <v>12</v>
      </c>
      <c r="C268" s="22" t="s">
        <v>12</v>
      </c>
      <c r="D268" s="22" t="s">
        <v>12</v>
      </c>
      <c r="E268" s="23">
        <f>(11.7+11.1)/2</f>
        <v>11.399999999999999</v>
      </c>
      <c r="F268" s="23">
        <f>+(11.1+10.32+10.5+9.76)/4</f>
        <v>10.42</v>
      </c>
      <c r="G268" s="23">
        <f>(11.7+11.1)/2</f>
        <v>11.399999999999999</v>
      </c>
      <c r="H268" s="25">
        <f>+E268/6.73</f>
        <v>1.6939078751857353</v>
      </c>
      <c r="I268" s="22">
        <v>3.47</v>
      </c>
    </row>
    <row r="269" spans="1:9" x14ac:dyDescent="0.2">
      <c r="A269" s="21">
        <v>41663</v>
      </c>
      <c r="B269" s="22" t="s">
        <v>12</v>
      </c>
      <c r="C269" s="22" t="s">
        <v>12</v>
      </c>
      <c r="D269" s="22" t="s">
        <v>12</v>
      </c>
      <c r="E269" s="23">
        <f>(12.6+12)/2</f>
        <v>12.3</v>
      </c>
      <c r="F269" s="23">
        <f>+(12+11.4+11.16+10.6)/4</f>
        <v>11.290000000000001</v>
      </c>
      <c r="G269" s="23">
        <f>(12.6+12)/2</f>
        <v>12.3</v>
      </c>
      <c r="H269" s="25">
        <f>+E269/7.2</f>
        <v>1.7083333333333335</v>
      </c>
      <c r="I269" s="22">
        <v>3.53</v>
      </c>
    </row>
    <row r="270" spans="1:9" x14ac:dyDescent="0.2">
      <c r="A270" s="21">
        <v>41670</v>
      </c>
      <c r="B270" s="22" t="s">
        <v>12</v>
      </c>
      <c r="C270" s="22" t="s">
        <v>12</v>
      </c>
      <c r="D270" s="22" t="s">
        <v>12</v>
      </c>
      <c r="E270" s="23">
        <f>(13.2+12.6)/2</f>
        <v>12.899999999999999</v>
      </c>
      <c r="F270" s="23">
        <f>+(12.6+11.72+12+11.16)/4</f>
        <v>11.870000000000001</v>
      </c>
      <c r="G270" s="23">
        <f>(13.2+12.6)/2</f>
        <v>12.899999999999999</v>
      </c>
      <c r="H270" s="25">
        <f>+E270/8</f>
        <v>1.6124999999999998</v>
      </c>
      <c r="I270" s="23">
        <v>3.6</v>
      </c>
    </row>
    <row r="271" spans="1:9" x14ac:dyDescent="0.2">
      <c r="A271" s="21">
        <v>41677</v>
      </c>
      <c r="B271" s="22" t="s">
        <v>12</v>
      </c>
      <c r="C271" s="22" t="s">
        <v>12</v>
      </c>
      <c r="D271" s="22" t="s">
        <v>12</v>
      </c>
      <c r="E271" s="23">
        <f>(15+14.4)/2</f>
        <v>14.7</v>
      </c>
      <c r="F271" s="23">
        <f>+(14.4+13.39+13.8+12.83)/4</f>
        <v>13.605</v>
      </c>
      <c r="G271" s="23">
        <f>(15+14.4)/2</f>
        <v>14.7</v>
      </c>
      <c r="H271" s="25">
        <f>+E271/7.9</f>
        <v>1.860759493670886</v>
      </c>
      <c r="I271" s="23">
        <v>3.52</v>
      </c>
    </row>
    <row r="272" spans="1:9" x14ac:dyDescent="0.2">
      <c r="A272" s="21">
        <v>41684</v>
      </c>
      <c r="B272" s="22" t="s">
        <v>12</v>
      </c>
      <c r="C272" s="22" t="s">
        <v>12</v>
      </c>
      <c r="D272" s="22" t="s">
        <v>12</v>
      </c>
      <c r="E272" s="23">
        <f>(16+15.4)/2</f>
        <v>15.7</v>
      </c>
      <c r="F272" s="23">
        <f>+(15.4+14.32+14.8+13.76)/4</f>
        <v>14.569999999999999</v>
      </c>
      <c r="G272" s="23">
        <f>(16+15.4)/2</f>
        <v>15.7</v>
      </c>
      <c r="H272" s="25">
        <f>+E272/7.8</f>
        <v>2.0128205128205128</v>
      </c>
      <c r="I272" s="23">
        <v>3.47</v>
      </c>
    </row>
    <row r="273" spans="1:9" x14ac:dyDescent="0.2">
      <c r="A273" s="21">
        <v>41691</v>
      </c>
      <c r="B273" s="22" t="s">
        <v>12</v>
      </c>
      <c r="C273" s="22" t="s">
        <v>12</v>
      </c>
      <c r="D273" s="22" t="s">
        <v>12</v>
      </c>
      <c r="E273" s="23">
        <v>16.3</v>
      </c>
      <c r="F273" s="22">
        <v>15.15</v>
      </c>
      <c r="G273" s="23">
        <v>16.3</v>
      </c>
      <c r="H273" s="25">
        <f>+E273/7.8</f>
        <v>2.0897435897435899</v>
      </c>
      <c r="I273" s="22">
        <v>3.63</v>
      </c>
    </row>
    <row r="274" spans="1:9" x14ac:dyDescent="0.2">
      <c r="A274" s="21">
        <v>41698</v>
      </c>
      <c r="B274" s="22" t="s">
        <v>12</v>
      </c>
      <c r="C274" s="22" t="s">
        <v>12</v>
      </c>
      <c r="D274" s="22" t="s">
        <v>12</v>
      </c>
      <c r="E274" s="23">
        <v>16.3</v>
      </c>
      <c r="F274" s="22">
        <v>15.15</v>
      </c>
      <c r="G274" s="23">
        <v>16.3</v>
      </c>
      <c r="H274" s="25">
        <f>+E274/7.8</f>
        <v>2.0897435897435899</v>
      </c>
      <c r="I274" s="22">
        <v>3.84</v>
      </c>
    </row>
    <row r="275" spans="1:9" x14ac:dyDescent="0.2">
      <c r="A275" s="21">
        <v>41705</v>
      </c>
      <c r="B275" s="22" t="s">
        <v>12</v>
      </c>
      <c r="C275" s="22" t="s">
        <v>12</v>
      </c>
      <c r="D275" s="22" t="s">
        <v>12</v>
      </c>
      <c r="E275" s="22" t="s">
        <v>12</v>
      </c>
      <c r="F275" s="22" t="s">
        <v>12</v>
      </c>
      <c r="G275" s="22" t="s">
        <v>12</v>
      </c>
      <c r="H275" s="22" t="s">
        <v>12</v>
      </c>
      <c r="I275" s="22" t="s">
        <v>12</v>
      </c>
    </row>
    <row r="276" spans="1:9" x14ac:dyDescent="0.2">
      <c r="A276" s="21">
        <v>41712</v>
      </c>
      <c r="B276" s="22" t="s">
        <v>12</v>
      </c>
      <c r="C276" s="22" t="s">
        <v>12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2" t="s">
        <v>12</v>
      </c>
      <c r="I276" s="22" t="s">
        <v>12</v>
      </c>
    </row>
    <row r="277" spans="1:9" x14ac:dyDescent="0.2">
      <c r="A277" s="21">
        <v>41719</v>
      </c>
      <c r="B277" s="22" t="s">
        <v>12</v>
      </c>
      <c r="C277" s="22" t="s">
        <v>12</v>
      </c>
      <c r="D277" s="22" t="s">
        <v>12</v>
      </c>
      <c r="E277" s="23">
        <f t="shared" ref="E277:E296" si="18">+(15.8+15.2)/2</f>
        <v>15.5</v>
      </c>
      <c r="F277" s="22">
        <f t="shared" ref="F277:F296" si="19">+(15.2+14.14+14.6+13.58)/4</f>
        <v>14.379999999999999</v>
      </c>
      <c r="G277" s="23">
        <f t="shared" ref="G277:G296" si="20">+(15.8+15.2)/2</f>
        <v>15.5</v>
      </c>
      <c r="H277" s="25">
        <f>+E277/7.9</f>
        <v>1.9620253164556962</v>
      </c>
      <c r="I277" s="22" t="s">
        <v>12</v>
      </c>
    </row>
    <row r="278" spans="1:9" x14ac:dyDescent="0.2">
      <c r="A278" s="21">
        <v>41726</v>
      </c>
      <c r="B278" s="22" t="s">
        <v>12</v>
      </c>
      <c r="C278" s="22" t="s">
        <v>12</v>
      </c>
      <c r="D278" s="22" t="s">
        <v>12</v>
      </c>
      <c r="E278" s="23">
        <f t="shared" si="18"/>
        <v>15.5</v>
      </c>
      <c r="F278" s="22">
        <f t="shared" si="19"/>
        <v>14.379999999999999</v>
      </c>
      <c r="G278" s="23">
        <f t="shared" si="20"/>
        <v>15.5</v>
      </c>
      <c r="H278" s="25">
        <f>+E278/7.95</f>
        <v>1.949685534591195</v>
      </c>
      <c r="I278" s="22">
        <v>3.61</v>
      </c>
    </row>
    <row r="279" spans="1:9" x14ac:dyDescent="0.2">
      <c r="A279" s="21">
        <v>41733</v>
      </c>
      <c r="B279" s="22" t="s">
        <v>12</v>
      </c>
      <c r="C279" s="22" t="s">
        <v>12</v>
      </c>
      <c r="D279" s="22" t="s">
        <v>12</v>
      </c>
      <c r="E279" s="23">
        <f t="shared" si="18"/>
        <v>15.5</v>
      </c>
      <c r="F279" s="22">
        <f t="shared" si="19"/>
        <v>14.379999999999999</v>
      </c>
      <c r="G279" s="23">
        <f t="shared" si="20"/>
        <v>15.5</v>
      </c>
      <c r="H279" s="25">
        <f>+E279/7.95</f>
        <v>1.949685534591195</v>
      </c>
      <c r="I279" s="22">
        <v>3.98</v>
      </c>
    </row>
    <row r="280" spans="1:9" x14ac:dyDescent="0.2">
      <c r="A280" s="21">
        <v>41745</v>
      </c>
      <c r="B280" s="22" t="s">
        <v>12</v>
      </c>
      <c r="C280" s="22" t="s">
        <v>12</v>
      </c>
      <c r="D280" s="22" t="s">
        <v>12</v>
      </c>
      <c r="E280" s="23">
        <f t="shared" si="18"/>
        <v>15.5</v>
      </c>
      <c r="F280" s="22">
        <f t="shared" si="19"/>
        <v>14.379999999999999</v>
      </c>
      <c r="G280" s="23">
        <f t="shared" si="20"/>
        <v>15.5</v>
      </c>
      <c r="H280" s="25">
        <f>+E280/7.95</f>
        <v>1.949685534591195</v>
      </c>
      <c r="I280" s="22" t="s">
        <v>12</v>
      </c>
    </row>
    <row r="281" spans="1:9" x14ac:dyDescent="0.2">
      <c r="A281" s="21">
        <v>41754</v>
      </c>
      <c r="B281" s="22" t="s">
        <v>12</v>
      </c>
      <c r="C281" s="22" t="s">
        <v>12</v>
      </c>
      <c r="D281" s="22" t="s">
        <v>12</v>
      </c>
      <c r="E281" s="23">
        <f t="shared" si="18"/>
        <v>15.5</v>
      </c>
      <c r="F281" s="22">
        <f t="shared" si="19"/>
        <v>14.379999999999999</v>
      </c>
      <c r="G281" s="23">
        <f t="shared" si="20"/>
        <v>15.5</v>
      </c>
      <c r="H281" s="25">
        <f>+E281/7.95</f>
        <v>1.949685534591195</v>
      </c>
      <c r="I281" s="22">
        <v>3.95</v>
      </c>
    </row>
    <row r="282" spans="1:9" x14ac:dyDescent="0.2">
      <c r="A282" s="21">
        <v>41759</v>
      </c>
      <c r="B282" s="22" t="s">
        <v>12</v>
      </c>
      <c r="C282" s="22" t="s">
        <v>12</v>
      </c>
      <c r="D282" s="22" t="s">
        <v>12</v>
      </c>
      <c r="E282" s="23">
        <f t="shared" si="18"/>
        <v>15.5</v>
      </c>
      <c r="F282" s="22">
        <f t="shared" si="19"/>
        <v>14.379999999999999</v>
      </c>
      <c r="G282" s="23">
        <f t="shared" si="20"/>
        <v>15.5</v>
      </c>
      <c r="H282" s="25">
        <f>+E282/7.952</f>
        <v>1.949195171026157</v>
      </c>
      <c r="I282" s="22">
        <v>3.75</v>
      </c>
    </row>
    <row r="283" spans="1:9" x14ac:dyDescent="0.2">
      <c r="A283" s="21">
        <v>41768</v>
      </c>
      <c r="B283" s="22" t="s">
        <v>12</v>
      </c>
      <c r="C283" s="22" t="s">
        <v>12</v>
      </c>
      <c r="D283" s="22" t="s">
        <v>12</v>
      </c>
      <c r="E283" s="23">
        <f t="shared" si="18"/>
        <v>15.5</v>
      </c>
      <c r="F283" s="22">
        <f t="shared" si="19"/>
        <v>14.379999999999999</v>
      </c>
      <c r="G283" s="23">
        <f t="shared" si="20"/>
        <v>15.5</v>
      </c>
      <c r="H283" s="25">
        <f>+E283/7.951</f>
        <v>1.9494403219720791</v>
      </c>
      <c r="I283" s="22">
        <v>3.84</v>
      </c>
    </row>
    <row r="284" spans="1:9" x14ac:dyDescent="0.2">
      <c r="A284" s="21">
        <v>41775</v>
      </c>
      <c r="B284" s="22" t="s">
        <v>12</v>
      </c>
      <c r="C284" s="22" t="s">
        <v>12</v>
      </c>
      <c r="D284" s="22" t="s">
        <v>12</v>
      </c>
      <c r="E284" s="23">
        <f t="shared" si="18"/>
        <v>15.5</v>
      </c>
      <c r="F284" s="22">
        <f t="shared" si="19"/>
        <v>14.379999999999999</v>
      </c>
      <c r="G284" s="23">
        <f t="shared" si="20"/>
        <v>15.5</v>
      </c>
      <c r="H284" s="25">
        <f>+E284/8.01</f>
        <v>1.9350811485642947</v>
      </c>
      <c r="I284" s="23">
        <v>3.6</v>
      </c>
    </row>
    <row r="285" spans="1:9" x14ac:dyDescent="0.2">
      <c r="A285" s="21">
        <v>41782</v>
      </c>
      <c r="B285" s="22" t="s">
        <v>12</v>
      </c>
      <c r="C285" s="22" t="s">
        <v>12</v>
      </c>
      <c r="D285" s="22" t="s">
        <v>12</v>
      </c>
      <c r="E285" s="23">
        <f t="shared" si="18"/>
        <v>15.5</v>
      </c>
      <c r="F285" s="22">
        <f t="shared" si="19"/>
        <v>14.379999999999999</v>
      </c>
      <c r="G285" s="23">
        <f t="shared" si="20"/>
        <v>15.5</v>
      </c>
      <c r="H285" s="25">
        <f>+E285/8.012</f>
        <v>1.9345981028457313</v>
      </c>
      <c r="I285" s="22">
        <v>3.79</v>
      </c>
    </row>
    <row r="286" spans="1:9" x14ac:dyDescent="0.2">
      <c r="A286" s="21">
        <v>41788</v>
      </c>
      <c r="B286" s="22" t="s">
        <v>12</v>
      </c>
      <c r="C286" s="22" t="s">
        <v>12</v>
      </c>
      <c r="D286" s="22" t="s">
        <v>12</v>
      </c>
      <c r="E286" s="23">
        <f t="shared" si="18"/>
        <v>15.5</v>
      </c>
      <c r="F286" s="22">
        <f t="shared" si="19"/>
        <v>14.379999999999999</v>
      </c>
      <c r="G286" s="23">
        <f t="shared" si="20"/>
        <v>15.5</v>
      </c>
      <c r="H286" s="25">
        <f>+E286/8.024</f>
        <v>1.9317048853439682</v>
      </c>
      <c r="I286" s="22">
        <v>3.86</v>
      </c>
    </row>
    <row r="287" spans="1:9" x14ac:dyDescent="0.2">
      <c r="A287" s="21">
        <v>41796</v>
      </c>
      <c r="B287" s="22" t="s">
        <v>12</v>
      </c>
      <c r="C287" s="22" t="s">
        <v>12</v>
      </c>
      <c r="D287" s="22" t="s">
        <v>12</v>
      </c>
      <c r="E287" s="23">
        <f t="shared" si="18"/>
        <v>15.5</v>
      </c>
      <c r="F287" s="22">
        <f t="shared" si="19"/>
        <v>14.379999999999999</v>
      </c>
      <c r="G287" s="23">
        <f t="shared" si="20"/>
        <v>15.5</v>
      </c>
      <c r="H287" s="25">
        <f>+E287/8.056</f>
        <v>1.9240317775571005</v>
      </c>
      <c r="I287" s="23">
        <v>3.9</v>
      </c>
    </row>
    <row r="288" spans="1:9" x14ac:dyDescent="0.2">
      <c r="A288" s="21">
        <v>41803</v>
      </c>
      <c r="B288" s="22" t="s">
        <v>12</v>
      </c>
      <c r="C288" s="22" t="s">
        <v>12</v>
      </c>
      <c r="D288" s="22" t="s">
        <v>12</v>
      </c>
      <c r="E288" s="23">
        <f t="shared" si="18"/>
        <v>15.5</v>
      </c>
      <c r="F288" s="22">
        <f t="shared" si="19"/>
        <v>14.379999999999999</v>
      </c>
      <c r="G288" s="23">
        <f t="shared" si="20"/>
        <v>15.5</v>
      </c>
      <c r="H288" s="25">
        <f>+E288/8.08</f>
        <v>1.9183168316831682</v>
      </c>
      <c r="I288" s="23">
        <v>3.82</v>
      </c>
    </row>
    <row r="289" spans="1:9" x14ac:dyDescent="0.2">
      <c r="A289" s="21">
        <v>41809</v>
      </c>
      <c r="B289" s="22" t="s">
        <v>12</v>
      </c>
      <c r="C289" s="22" t="s">
        <v>12</v>
      </c>
      <c r="D289" s="22" t="s">
        <v>12</v>
      </c>
      <c r="E289" s="23">
        <f t="shared" si="18"/>
        <v>15.5</v>
      </c>
      <c r="F289" s="22">
        <f t="shared" si="19"/>
        <v>14.379999999999999</v>
      </c>
      <c r="G289" s="23">
        <f t="shared" si="20"/>
        <v>15.5</v>
      </c>
      <c r="H289" s="25">
        <f>+E289/8.08</f>
        <v>1.9183168316831682</v>
      </c>
      <c r="I289" s="22">
        <v>3.86</v>
      </c>
    </row>
    <row r="290" spans="1:9" x14ac:dyDescent="0.2">
      <c r="A290" s="21">
        <v>41817</v>
      </c>
      <c r="B290" s="22" t="s">
        <v>12</v>
      </c>
      <c r="C290" s="22" t="s">
        <v>12</v>
      </c>
      <c r="D290" s="22" t="s">
        <v>12</v>
      </c>
      <c r="E290" s="23">
        <f t="shared" si="18"/>
        <v>15.5</v>
      </c>
      <c r="F290" s="22">
        <f t="shared" si="19"/>
        <v>14.379999999999999</v>
      </c>
      <c r="G290" s="23">
        <f t="shared" si="20"/>
        <v>15.5</v>
      </c>
      <c r="H290" s="25">
        <f>+E290/8.082</f>
        <v>1.9178421182875525</v>
      </c>
      <c r="I290" s="22">
        <v>3.83</v>
      </c>
    </row>
    <row r="291" spans="1:9" x14ac:dyDescent="0.2">
      <c r="A291" s="21">
        <v>41824</v>
      </c>
      <c r="B291" s="22" t="s">
        <v>12</v>
      </c>
      <c r="C291" s="22" t="s">
        <v>12</v>
      </c>
      <c r="D291" s="22" t="s">
        <v>12</v>
      </c>
      <c r="E291" s="23">
        <f t="shared" si="18"/>
        <v>15.5</v>
      </c>
      <c r="F291" s="22">
        <f t="shared" si="19"/>
        <v>14.379999999999999</v>
      </c>
      <c r="G291" s="23">
        <f t="shared" si="20"/>
        <v>15.5</v>
      </c>
      <c r="H291" s="25">
        <f>+E291/8.088</f>
        <v>1.9164193867457964</v>
      </c>
      <c r="I291" s="22">
        <v>3.73</v>
      </c>
    </row>
    <row r="292" spans="1:9" x14ac:dyDescent="0.2">
      <c r="A292" s="21">
        <v>41830</v>
      </c>
      <c r="B292" s="22" t="s">
        <v>12</v>
      </c>
      <c r="C292" s="22" t="s">
        <v>12</v>
      </c>
      <c r="D292" s="22" t="s">
        <v>12</v>
      </c>
      <c r="E292" s="23">
        <f t="shared" si="18"/>
        <v>15.5</v>
      </c>
      <c r="F292" s="22">
        <f t="shared" si="19"/>
        <v>14.379999999999999</v>
      </c>
      <c r="G292" s="23">
        <f t="shared" si="20"/>
        <v>15.5</v>
      </c>
      <c r="H292" s="25">
        <f>+E292/8.09</f>
        <v>1.9159456118665019</v>
      </c>
      <c r="I292" s="22">
        <v>3.73</v>
      </c>
    </row>
    <row r="293" spans="1:9" x14ac:dyDescent="0.2">
      <c r="A293" s="21">
        <v>41838</v>
      </c>
      <c r="B293" s="22" t="s">
        <v>12</v>
      </c>
      <c r="C293" s="22" t="s">
        <v>12</v>
      </c>
      <c r="D293" s="22" t="s">
        <v>12</v>
      </c>
      <c r="E293" s="23">
        <f t="shared" si="18"/>
        <v>15.5</v>
      </c>
      <c r="F293" s="22">
        <f t="shared" si="19"/>
        <v>14.379999999999999</v>
      </c>
      <c r="G293" s="23">
        <f t="shared" si="20"/>
        <v>15.5</v>
      </c>
      <c r="H293" s="25">
        <f>+E293/8.1</f>
        <v>1.9135802469135803</v>
      </c>
      <c r="I293" s="22">
        <v>3.76</v>
      </c>
    </row>
    <row r="294" spans="1:9" x14ac:dyDescent="0.2">
      <c r="A294" s="21">
        <v>41845</v>
      </c>
      <c r="B294" s="22" t="s">
        <v>12</v>
      </c>
      <c r="C294" s="22" t="s">
        <v>12</v>
      </c>
      <c r="D294" s="22" t="s">
        <v>12</v>
      </c>
      <c r="E294" s="23">
        <f t="shared" si="18"/>
        <v>15.5</v>
      </c>
      <c r="F294" s="22">
        <f t="shared" si="19"/>
        <v>14.379999999999999</v>
      </c>
      <c r="G294" s="23">
        <f t="shared" si="20"/>
        <v>15.5</v>
      </c>
      <c r="H294" s="25">
        <f>+E294/8.119</f>
        <v>1.9091021061707107</v>
      </c>
      <c r="I294" s="22" t="s">
        <v>12</v>
      </c>
    </row>
    <row r="295" spans="1:9" x14ac:dyDescent="0.2">
      <c r="A295" s="21">
        <v>41852</v>
      </c>
      <c r="B295" s="22" t="s">
        <v>12</v>
      </c>
      <c r="C295" s="22" t="s">
        <v>12</v>
      </c>
      <c r="D295" s="22" t="s">
        <v>12</v>
      </c>
      <c r="E295" s="23">
        <f t="shared" si="18"/>
        <v>15.5</v>
      </c>
      <c r="F295" s="22">
        <f t="shared" si="19"/>
        <v>14.379999999999999</v>
      </c>
      <c r="G295" s="23">
        <f t="shared" si="20"/>
        <v>15.5</v>
      </c>
      <c r="H295" s="25">
        <f>+E295/8.15</f>
        <v>1.9018404907975459</v>
      </c>
      <c r="I295" s="22" t="s">
        <v>12</v>
      </c>
    </row>
    <row r="296" spans="1:9" x14ac:dyDescent="0.2">
      <c r="A296" s="21">
        <v>41860</v>
      </c>
      <c r="B296" s="22" t="s">
        <v>12</v>
      </c>
      <c r="C296" s="22" t="s">
        <v>12</v>
      </c>
      <c r="D296" s="22" t="s">
        <v>12</v>
      </c>
      <c r="E296" s="23">
        <f t="shared" si="18"/>
        <v>15.5</v>
      </c>
      <c r="F296" s="22">
        <f t="shared" si="19"/>
        <v>14.379999999999999</v>
      </c>
      <c r="G296" s="23">
        <f t="shared" si="20"/>
        <v>15.5</v>
      </c>
      <c r="H296" s="25">
        <f>+E296/8.22</f>
        <v>1.8856447688564475</v>
      </c>
      <c r="I296" s="22" t="s">
        <v>12</v>
      </c>
    </row>
    <row r="297" spans="1:9" x14ac:dyDescent="0.2">
      <c r="A297" s="21">
        <v>41866</v>
      </c>
      <c r="B297" s="22" t="s">
        <v>12</v>
      </c>
      <c r="C297" s="22" t="s">
        <v>12</v>
      </c>
      <c r="D297" s="22" t="s">
        <v>12</v>
      </c>
      <c r="E297" s="23">
        <f>+(16.8+16.2)/2</f>
        <v>16.5</v>
      </c>
      <c r="F297" s="23">
        <f>+(16.2+15.07+15.6+14.51)/4</f>
        <v>15.344999999999999</v>
      </c>
      <c r="G297" s="23">
        <f>+(16.8+16.2)/2</f>
        <v>16.5</v>
      </c>
      <c r="H297" s="25">
        <f>+E297/8.22</f>
        <v>2.0072992700729926</v>
      </c>
      <c r="I297" s="22">
        <v>3.78</v>
      </c>
    </row>
    <row r="298" spans="1:9" x14ac:dyDescent="0.2">
      <c r="A298" s="21">
        <v>41873</v>
      </c>
      <c r="B298" s="22" t="s">
        <v>12</v>
      </c>
      <c r="C298" s="22" t="s">
        <v>12</v>
      </c>
      <c r="D298" s="22" t="s">
        <v>12</v>
      </c>
      <c r="E298" s="23">
        <f>+(17.1+16.5)/2</f>
        <v>16.8</v>
      </c>
      <c r="F298" s="23">
        <f>+(16.5+15.9+15.34+14.79)/4</f>
        <v>15.632499999999999</v>
      </c>
      <c r="G298" s="23">
        <f>+(17.1+16.5)/2</f>
        <v>16.8</v>
      </c>
      <c r="H298" s="25">
        <f>+E298/8.28</f>
        <v>2.0289855072463769</v>
      </c>
      <c r="I298" s="22">
        <v>3.78</v>
      </c>
    </row>
    <row r="299" spans="1:9" x14ac:dyDescent="0.2">
      <c r="A299" s="21">
        <v>41880</v>
      </c>
      <c r="B299" s="22" t="s">
        <v>12</v>
      </c>
      <c r="C299" s="22" t="s">
        <v>12</v>
      </c>
      <c r="D299" s="22" t="s">
        <v>12</v>
      </c>
      <c r="E299" s="23">
        <f t="shared" ref="E299:E304" si="21">+(17.8+17.2)/2</f>
        <v>17.5</v>
      </c>
      <c r="F299" s="23">
        <f t="shared" ref="F299:F304" si="22">+(17.2+16+16.6+15.44)/4</f>
        <v>16.310000000000002</v>
      </c>
      <c r="G299" s="23">
        <f t="shared" ref="G299:G304" si="23">+(17.8+17.2)/2</f>
        <v>17.5</v>
      </c>
      <c r="H299" s="25">
        <f>+E299/8.36</f>
        <v>2.0933014354066986</v>
      </c>
      <c r="I299" s="22">
        <v>3.89</v>
      </c>
    </row>
    <row r="300" spans="1:9" x14ac:dyDescent="0.2">
      <c r="A300" s="21">
        <v>41887</v>
      </c>
      <c r="B300" s="22" t="s">
        <v>12</v>
      </c>
      <c r="C300" s="22" t="s">
        <v>12</v>
      </c>
      <c r="D300" s="22" t="s">
        <v>12</v>
      </c>
      <c r="E300" s="23">
        <f t="shared" si="21"/>
        <v>17.5</v>
      </c>
      <c r="F300" s="23">
        <f t="shared" si="22"/>
        <v>16.310000000000002</v>
      </c>
      <c r="G300" s="23">
        <f t="shared" si="23"/>
        <v>17.5</v>
      </c>
      <c r="H300" s="25">
        <f>+E300/8.365</f>
        <v>2.0920502092050208</v>
      </c>
      <c r="I300" s="23">
        <v>3.9</v>
      </c>
    </row>
    <row r="301" spans="1:9" x14ac:dyDescent="0.2">
      <c r="A301" s="21">
        <v>41894</v>
      </c>
      <c r="B301" s="22" t="s">
        <v>12</v>
      </c>
      <c r="C301" s="22" t="s">
        <v>12</v>
      </c>
      <c r="D301" s="22" t="s">
        <v>12</v>
      </c>
      <c r="E301" s="23">
        <f t="shared" si="21"/>
        <v>17.5</v>
      </c>
      <c r="F301" s="23">
        <f t="shared" si="22"/>
        <v>16.310000000000002</v>
      </c>
      <c r="G301" s="23">
        <f t="shared" si="23"/>
        <v>17.5</v>
      </c>
      <c r="H301" s="25">
        <f>+E301/8.35</f>
        <v>2.0958083832335328</v>
      </c>
      <c r="I301" s="22" t="s">
        <v>12</v>
      </c>
    </row>
    <row r="302" spans="1:9" x14ac:dyDescent="0.2">
      <c r="A302" s="21">
        <v>41901</v>
      </c>
      <c r="B302" s="22" t="s">
        <v>12</v>
      </c>
      <c r="C302" s="22" t="s">
        <v>12</v>
      </c>
      <c r="D302" s="22" t="s">
        <v>12</v>
      </c>
      <c r="E302" s="23">
        <f t="shared" si="21"/>
        <v>17.5</v>
      </c>
      <c r="F302" s="23">
        <f t="shared" si="22"/>
        <v>16.310000000000002</v>
      </c>
      <c r="G302" s="23">
        <f t="shared" si="23"/>
        <v>17.5</v>
      </c>
      <c r="H302" s="25">
        <f>+E302/8.37</f>
        <v>2.0908004778972522</v>
      </c>
      <c r="I302" s="22">
        <v>3.98</v>
      </c>
    </row>
    <row r="303" spans="1:9" x14ac:dyDescent="0.2">
      <c r="A303" s="21">
        <v>41908</v>
      </c>
      <c r="B303" s="22" t="s">
        <v>12</v>
      </c>
      <c r="C303" s="22" t="s">
        <v>12</v>
      </c>
      <c r="D303" s="22" t="s">
        <v>12</v>
      </c>
      <c r="E303" s="23">
        <f t="shared" si="21"/>
        <v>17.5</v>
      </c>
      <c r="F303" s="23">
        <f t="shared" si="22"/>
        <v>16.310000000000002</v>
      </c>
      <c r="G303" s="23">
        <f t="shared" si="23"/>
        <v>17.5</v>
      </c>
      <c r="H303" s="25">
        <f>+E303/8.37</f>
        <v>2.0908004778972522</v>
      </c>
      <c r="I303" s="22">
        <v>3.98</v>
      </c>
    </row>
    <row r="304" spans="1:9" x14ac:dyDescent="0.2">
      <c r="A304" s="21">
        <v>41915</v>
      </c>
      <c r="B304" s="22" t="s">
        <v>12</v>
      </c>
      <c r="C304" s="22" t="s">
        <v>12</v>
      </c>
      <c r="D304" s="22" t="s">
        <v>12</v>
      </c>
      <c r="E304" s="23">
        <f t="shared" si="21"/>
        <v>17.5</v>
      </c>
      <c r="F304" s="23">
        <f t="shared" si="22"/>
        <v>16.310000000000002</v>
      </c>
      <c r="G304" s="23">
        <f t="shared" si="23"/>
        <v>17.5</v>
      </c>
      <c r="H304" s="25">
        <f>+E304/8.4</f>
        <v>2.083333333333333</v>
      </c>
      <c r="I304" s="22">
        <v>3.98</v>
      </c>
    </row>
    <row r="305" spans="1:9" x14ac:dyDescent="0.2">
      <c r="A305" s="21">
        <v>41922</v>
      </c>
      <c r="B305" s="22" t="s">
        <v>12</v>
      </c>
      <c r="C305" s="22" t="s">
        <v>12</v>
      </c>
      <c r="D305" s="22" t="s">
        <v>12</v>
      </c>
      <c r="E305" s="22" t="s">
        <v>12</v>
      </c>
      <c r="F305" s="22" t="s">
        <v>12</v>
      </c>
      <c r="G305" s="22" t="s">
        <v>12</v>
      </c>
      <c r="H305" s="22" t="s">
        <v>12</v>
      </c>
      <c r="I305" s="23">
        <v>3.9</v>
      </c>
    </row>
    <row r="306" spans="1:9" x14ac:dyDescent="0.2">
      <c r="A306" s="21">
        <v>41929</v>
      </c>
      <c r="B306" s="22" t="s">
        <v>12</v>
      </c>
      <c r="C306" s="22" t="s">
        <v>12</v>
      </c>
      <c r="D306" s="22" t="s">
        <v>12</v>
      </c>
      <c r="E306" s="22" t="s">
        <v>12</v>
      </c>
      <c r="F306" s="22" t="s">
        <v>12</v>
      </c>
      <c r="G306" s="22" t="s">
        <v>12</v>
      </c>
      <c r="H306" s="22" t="s">
        <v>12</v>
      </c>
      <c r="I306" s="22" t="s">
        <v>12</v>
      </c>
    </row>
    <row r="307" spans="1:9" x14ac:dyDescent="0.2">
      <c r="A307" s="21">
        <v>41936</v>
      </c>
      <c r="B307" s="22" t="s">
        <v>12</v>
      </c>
      <c r="C307" s="22" t="s">
        <v>12</v>
      </c>
      <c r="D307" s="22" t="s">
        <v>12</v>
      </c>
      <c r="E307" s="23">
        <f>+(17.8+17.2)/2</f>
        <v>17.5</v>
      </c>
      <c r="F307" s="23">
        <f>+(17.2+16+16.6+15.44)/4</f>
        <v>16.310000000000002</v>
      </c>
      <c r="G307" s="23">
        <f>+(17.8+17.2)/2</f>
        <v>17.5</v>
      </c>
      <c r="H307" s="25">
        <f>+E307/8.44</f>
        <v>2.0734597156398107</v>
      </c>
      <c r="I307" s="22">
        <v>3.89</v>
      </c>
    </row>
    <row r="308" spans="1:9" x14ac:dyDescent="0.2">
      <c r="A308" s="21">
        <v>41943</v>
      </c>
      <c r="B308" s="22" t="s">
        <v>12</v>
      </c>
      <c r="C308" s="22" t="s">
        <v>12</v>
      </c>
      <c r="D308" s="22" t="s">
        <v>12</v>
      </c>
      <c r="E308" s="23">
        <f>+(17.8+17.2)/2</f>
        <v>17.5</v>
      </c>
      <c r="F308" s="23">
        <f>+(17.2+16+16.6+15.44)/4</f>
        <v>16.310000000000002</v>
      </c>
      <c r="G308" s="23">
        <f>+(17.8+17.2)/2</f>
        <v>17.5</v>
      </c>
      <c r="H308" s="25">
        <f>+E308/8.45</f>
        <v>2.0710059171597637</v>
      </c>
      <c r="I308" s="22">
        <v>3.89</v>
      </c>
    </row>
    <row r="309" spans="1:9" x14ac:dyDescent="0.2">
      <c r="A309" s="21">
        <v>41950</v>
      </c>
      <c r="B309" s="22" t="s">
        <v>12</v>
      </c>
      <c r="C309" s="22" t="s">
        <v>12</v>
      </c>
      <c r="D309" s="22" t="s">
        <v>12</v>
      </c>
      <c r="E309" s="23">
        <f>+(17.6+17)/2</f>
        <v>17.3</v>
      </c>
      <c r="F309" s="23">
        <f>+(17+15.81+16.4+15.25)/4</f>
        <v>16.115000000000002</v>
      </c>
      <c r="G309" s="23">
        <f>+(17.6+17)/2</f>
        <v>17.3</v>
      </c>
      <c r="H309" s="25">
        <f>+E309/8.47</f>
        <v>2.0425029515938604</v>
      </c>
      <c r="I309" s="22">
        <v>3.89</v>
      </c>
    </row>
    <row r="310" spans="1:9" x14ac:dyDescent="0.2">
      <c r="A310" s="21">
        <v>41957</v>
      </c>
      <c r="B310" s="22" t="s">
        <v>12</v>
      </c>
      <c r="C310" s="22" t="s">
        <v>12</v>
      </c>
      <c r="D310" s="22" t="s">
        <v>12</v>
      </c>
      <c r="E310" s="23">
        <f>+(17.2+16.6)/2</f>
        <v>16.899999999999999</v>
      </c>
      <c r="F310" s="23">
        <f>+(16.6+15.44+16+14.88)/4</f>
        <v>15.73</v>
      </c>
      <c r="G310" s="23">
        <f>+(17.2+16.6)/2</f>
        <v>16.899999999999999</v>
      </c>
      <c r="H310" s="25">
        <f>+E310/8.47</f>
        <v>1.995277449822904</v>
      </c>
      <c r="I310" s="22" t="s">
        <v>248</v>
      </c>
    </row>
    <row r="311" spans="1:9" x14ac:dyDescent="0.2">
      <c r="A311" s="21">
        <v>41964</v>
      </c>
      <c r="B311" s="22" t="s">
        <v>12</v>
      </c>
      <c r="C311" s="22" t="s">
        <v>12</v>
      </c>
      <c r="D311" s="22" t="s">
        <v>12</v>
      </c>
      <c r="E311" s="23">
        <f>+(17.1+16.5)/2</f>
        <v>16.8</v>
      </c>
      <c r="F311" s="23">
        <f>+(16.5+15.34+15.9+14.79)/4</f>
        <v>15.6325</v>
      </c>
      <c r="G311" s="23">
        <f>+(17.1+16.5)/2</f>
        <v>16.8</v>
      </c>
      <c r="H311" s="25">
        <f>+E311/8.47</f>
        <v>1.9834710743801651</v>
      </c>
      <c r="I311" s="22">
        <v>3.91</v>
      </c>
    </row>
    <row r="312" spans="1:9" x14ac:dyDescent="0.2">
      <c r="A312" s="21">
        <v>41971</v>
      </c>
      <c r="B312" s="22" t="s">
        <v>12</v>
      </c>
      <c r="C312" s="22" t="s">
        <v>12</v>
      </c>
      <c r="D312" s="22" t="s">
        <v>12</v>
      </c>
      <c r="E312" s="23">
        <f>+(16.9+16.3)/2</f>
        <v>16.600000000000001</v>
      </c>
      <c r="F312" s="23">
        <f>+(16.3+15.16+15.7+14.6)/4</f>
        <v>15.44</v>
      </c>
      <c r="G312" s="23">
        <f>+(16.9+16.3)/2</f>
        <v>16.600000000000001</v>
      </c>
      <c r="H312" s="25">
        <f>+E312/8.475</f>
        <v>1.9587020648967555</v>
      </c>
      <c r="I312" s="22">
        <v>3.52</v>
      </c>
    </row>
    <row r="313" spans="1:9" x14ac:dyDescent="0.2">
      <c r="A313" s="21">
        <v>41978</v>
      </c>
      <c r="B313" s="22" t="s">
        <v>12</v>
      </c>
      <c r="C313" s="22" t="s">
        <v>12</v>
      </c>
      <c r="D313" s="22" t="s">
        <v>12</v>
      </c>
      <c r="E313" s="23">
        <f>+(16.5+15.9)/2</f>
        <v>16.2</v>
      </c>
      <c r="F313" s="23">
        <f>+(15.9+14.79+15.3+14.23)/4</f>
        <v>15.055</v>
      </c>
      <c r="G313" s="23">
        <f>+(16.5+15.9)/2</f>
        <v>16.2</v>
      </c>
      <c r="H313" s="25">
        <f>+E313/8.475</f>
        <v>1.9115044247787611</v>
      </c>
      <c r="I313" s="23">
        <v>3.7</v>
      </c>
    </row>
    <row r="314" spans="1:9" x14ac:dyDescent="0.2">
      <c r="A314" s="21">
        <v>41985</v>
      </c>
      <c r="B314" s="22" t="s">
        <v>12</v>
      </c>
      <c r="C314" s="22" t="s">
        <v>12</v>
      </c>
      <c r="D314" s="22" t="s">
        <v>12</v>
      </c>
      <c r="E314" s="23">
        <f>+(16+15.4)/2</f>
        <v>15.7</v>
      </c>
      <c r="F314" s="23">
        <f>+(15.4+14.32+14.8+13.76)/4</f>
        <v>14.569999999999999</v>
      </c>
      <c r="G314" s="23">
        <f>+(16+15.4)/2</f>
        <v>15.7</v>
      </c>
      <c r="H314" s="25">
        <f>+E314/8.5</f>
        <v>1.8470588235294116</v>
      </c>
      <c r="I314" s="23">
        <v>3.59</v>
      </c>
    </row>
    <row r="315" spans="1:9" x14ac:dyDescent="0.2">
      <c r="A315" s="21">
        <v>41992</v>
      </c>
      <c r="B315" s="22" t="s">
        <v>12</v>
      </c>
      <c r="C315" s="22" t="s">
        <v>12</v>
      </c>
      <c r="D315" s="22" t="s">
        <v>12</v>
      </c>
      <c r="E315" s="23">
        <f>+(15.5+14.9)/2</f>
        <v>15.2</v>
      </c>
      <c r="F315" s="23">
        <f>+(14.9+13.86+14.3+13.3)/4</f>
        <v>14.09</v>
      </c>
      <c r="G315" s="23">
        <f>+(15.5+14.9)/2</f>
        <v>15.2</v>
      </c>
      <c r="H315" s="25">
        <f>+E315/8.5</f>
        <v>1.7882352941176469</v>
      </c>
      <c r="I315" s="23">
        <v>3.45</v>
      </c>
    </row>
    <row r="316" spans="1:9" x14ac:dyDescent="0.2">
      <c r="A316" s="21">
        <v>41996</v>
      </c>
      <c r="B316" s="22" t="s">
        <v>12</v>
      </c>
      <c r="C316" s="22" t="s">
        <v>12</v>
      </c>
      <c r="D316" s="22" t="s">
        <v>12</v>
      </c>
      <c r="E316" s="22" t="s">
        <v>12</v>
      </c>
      <c r="F316" s="22" t="s">
        <v>12</v>
      </c>
      <c r="G316" s="22" t="s">
        <v>12</v>
      </c>
      <c r="H316" s="22" t="s">
        <v>12</v>
      </c>
      <c r="I316" s="22" t="s">
        <v>12</v>
      </c>
    </row>
    <row r="317" spans="1:9" x14ac:dyDescent="0.2">
      <c r="A317" s="21">
        <v>42004</v>
      </c>
      <c r="B317" s="22" t="s">
        <v>12</v>
      </c>
      <c r="C317" s="22" t="s">
        <v>12</v>
      </c>
      <c r="D317" s="22" t="s">
        <v>12</v>
      </c>
      <c r="E317" s="22" t="s">
        <v>12</v>
      </c>
      <c r="F317" s="22" t="s">
        <v>12</v>
      </c>
      <c r="G317" s="22" t="s">
        <v>12</v>
      </c>
      <c r="H317" s="22" t="s">
        <v>12</v>
      </c>
      <c r="I317" s="22" t="s">
        <v>12</v>
      </c>
    </row>
    <row r="318" spans="1:9" x14ac:dyDescent="0.2">
      <c r="A318" s="13">
        <v>42013</v>
      </c>
      <c r="B318" s="5" t="s">
        <v>12</v>
      </c>
      <c r="C318" s="5" t="s">
        <v>12</v>
      </c>
      <c r="D318" s="5" t="s">
        <v>12</v>
      </c>
      <c r="E318" s="11">
        <f t="shared" ref="E318:E325" si="24">+(14.9+14.3)/2</f>
        <v>14.600000000000001</v>
      </c>
      <c r="F318" s="11">
        <f t="shared" ref="F318:F325" si="25">+(14.3+13.3+13.7+12.74)/4</f>
        <v>13.51</v>
      </c>
      <c r="G318" s="11">
        <f t="shared" ref="G318:G325" si="26">+(14.9+14.3)/2</f>
        <v>14.600000000000001</v>
      </c>
      <c r="H318" s="11">
        <f>+E318/8.54</f>
        <v>1.7096018735363001</v>
      </c>
      <c r="I318" s="5" t="s">
        <v>12</v>
      </c>
    </row>
    <row r="319" spans="1:9" x14ac:dyDescent="0.2">
      <c r="A319" s="13">
        <v>42020</v>
      </c>
      <c r="B319" s="5" t="s">
        <v>12</v>
      </c>
      <c r="C319" s="5" t="s">
        <v>12</v>
      </c>
      <c r="D319" s="5" t="s">
        <v>12</v>
      </c>
      <c r="E319" s="11">
        <f t="shared" si="24"/>
        <v>14.600000000000001</v>
      </c>
      <c r="F319" s="11">
        <f t="shared" si="25"/>
        <v>13.51</v>
      </c>
      <c r="G319" s="11">
        <f t="shared" si="26"/>
        <v>14.600000000000001</v>
      </c>
      <c r="H319" s="11">
        <f>+E319/8.55</f>
        <v>1.7076023391812867</v>
      </c>
      <c r="I319" s="5" t="s">
        <v>12</v>
      </c>
    </row>
    <row r="320" spans="1:9" x14ac:dyDescent="0.2">
      <c r="A320" s="13">
        <v>42027</v>
      </c>
      <c r="B320" s="5" t="s">
        <v>12</v>
      </c>
      <c r="C320" s="5" t="s">
        <v>12</v>
      </c>
      <c r="D320" s="5" t="s">
        <v>12</v>
      </c>
      <c r="E320" s="11">
        <f t="shared" si="24"/>
        <v>14.600000000000001</v>
      </c>
      <c r="F320" s="11">
        <f t="shared" si="25"/>
        <v>13.51</v>
      </c>
      <c r="G320" s="11">
        <f t="shared" si="26"/>
        <v>14.600000000000001</v>
      </c>
      <c r="H320" s="11">
        <f>+E320/8.57</f>
        <v>1.7036172695449243</v>
      </c>
      <c r="I320" s="5" t="s">
        <v>12</v>
      </c>
    </row>
    <row r="321" spans="1:9" x14ac:dyDescent="0.2">
      <c r="A321" s="13">
        <v>42034</v>
      </c>
      <c r="B321" s="5" t="s">
        <v>12</v>
      </c>
      <c r="C321" s="5" t="s">
        <v>12</v>
      </c>
      <c r="D321" s="5" t="s">
        <v>12</v>
      </c>
      <c r="E321" s="11">
        <f t="shared" si="24"/>
        <v>14.600000000000001</v>
      </c>
      <c r="F321" s="11">
        <f t="shared" si="25"/>
        <v>13.51</v>
      </c>
      <c r="G321" s="11">
        <f t="shared" si="26"/>
        <v>14.600000000000001</v>
      </c>
      <c r="H321" s="11">
        <f>+E321/8.58</f>
        <v>1.7016317016317017</v>
      </c>
      <c r="I321" s="11">
        <v>3.59</v>
      </c>
    </row>
    <row r="322" spans="1:9" x14ac:dyDescent="0.2">
      <c r="A322" s="13">
        <v>42041</v>
      </c>
      <c r="B322" s="5" t="s">
        <v>12</v>
      </c>
      <c r="C322" s="5" t="s">
        <v>12</v>
      </c>
      <c r="D322" s="5" t="s">
        <v>12</v>
      </c>
      <c r="E322" s="11">
        <f t="shared" si="24"/>
        <v>14.600000000000001</v>
      </c>
      <c r="F322" s="11">
        <f t="shared" si="25"/>
        <v>13.51</v>
      </c>
      <c r="G322" s="11">
        <f t="shared" si="26"/>
        <v>14.600000000000001</v>
      </c>
      <c r="H322" s="11">
        <f>+E322/8.61</f>
        <v>1.6957026713124277</v>
      </c>
      <c r="I322" s="11">
        <v>3.61</v>
      </c>
    </row>
    <row r="323" spans="1:9" x14ac:dyDescent="0.2">
      <c r="A323" s="13">
        <v>42048</v>
      </c>
      <c r="B323" s="5" t="s">
        <v>12</v>
      </c>
      <c r="C323" s="5" t="s">
        <v>12</v>
      </c>
      <c r="D323" s="5" t="s">
        <v>12</v>
      </c>
      <c r="E323" s="11">
        <f t="shared" si="24"/>
        <v>14.600000000000001</v>
      </c>
      <c r="F323" s="11">
        <f t="shared" si="25"/>
        <v>13.51</v>
      </c>
      <c r="G323" s="11">
        <f t="shared" si="26"/>
        <v>14.600000000000001</v>
      </c>
      <c r="H323" s="11">
        <f>+E323/8.63</f>
        <v>1.6917728852838934</v>
      </c>
      <c r="I323" s="11">
        <v>3.6110000000000002</v>
      </c>
    </row>
    <row r="324" spans="1:9" x14ac:dyDescent="0.2">
      <c r="A324" s="13">
        <v>42055</v>
      </c>
      <c r="B324" s="5" t="s">
        <v>12</v>
      </c>
      <c r="C324" s="5" t="s">
        <v>12</v>
      </c>
      <c r="D324" s="5" t="s">
        <v>12</v>
      </c>
      <c r="E324" s="11">
        <f t="shared" si="24"/>
        <v>14.600000000000001</v>
      </c>
      <c r="F324" s="11">
        <f t="shared" si="25"/>
        <v>13.51</v>
      </c>
      <c r="G324" s="11">
        <f t="shared" si="26"/>
        <v>14.600000000000001</v>
      </c>
      <c r="H324" s="11">
        <f>+E324/8.63</f>
        <v>1.6917728852838934</v>
      </c>
      <c r="I324" s="11">
        <v>3.45</v>
      </c>
    </row>
    <row r="325" spans="1:9" x14ac:dyDescent="0.2">
      <c r="A325" s="13">
        <v>42062</v>
      </c>
      <c r="B325" s="5" t="s">
        <v>12</v>
      </c>
      <c r="C325" s="5" t="s">
        <v>12</v>
      </c>
      <c r="D325" s="5" t="s">
        <v>12</v>
      </c>
      <c r="E325" s="11">
        <f t="shared" si="24"/>
        <v>14.600000000000001</v>
      </c>
      <c r="F325" s="11">
        <f t="shared" si="25"/>
        <v>13.51</v>
      </c>
      <c r="G325" s="11">
        <f t="shared" si="26"/>
        <v>14.600000000000001</v>
      </c>
      <c r="H325" s="11">
        <f>+E325/8.68</f>
        <v>1.6820276497695854</v>
      </c>
      <c r="I325" s="11">
        <v>3.37</v>
      </c>
    </row>
    <row r="326" spans="1:9" x14ac:dyDescent="0.2">
      <c r="A326" s="13">
        <v>42069</v>
      </c>
      <c r="B326" s="5" t="s">
        <v>12</v>
      </c>
      <c r="C326" s="5" t="s">
        <v>12</v>
      </c>
      <c r="D326" s="5" t="s">
        <v>12</v>
      </c>
      <c r="E326" s="11">
        <f>+(14.5+13.9)/2</f>
        <v>14.2</v>
      </c>
      <c r="F326" s="11">
        <f>+(13.9+12.93+13.3+12.37)/4</f>
        <v>13.124999999999998</v>
      </c>
      <c r="G326" s="11">
        <f>+(14.3+13.9)/2</f>
        <v>14.100000000000001</v>
      </c>
      <c r="H326" s="11">
        <f>+E326/8.7</f>
        <v>1.632183908045977</v>
      </c>
      <c r="I326" s="11">
        <v>3.46</v>
      </c>
    </row>
    <row r="327" spans="1:9" x14ac:dyDescent="0.2">
      <c r="A327" s="13">
        <v>42076</v>
      </c>
      <c r="B327" s="5" t="s">
        <v>12</v>
      </c>
      <c r="C327" s="5" t="s">
        <v>12</v>
      </c>
      <c r="D327" s="5" t="s">
        <v>12</v>
      </c>
      <c r="E327" s="11">
        <f>+(14.1+13.5)/2</f>
        <v>13.8</v>
      </c>
      <c r="F327" s="11">
        <f>+(13.5+12.55+12.9+12)/4</f>
        <v>12.737500000000001</v>
      </c>
      <c r="G327" s="11">
        <f>+(14.1+13.5)/2</f>
        <v>13.8</v>
      </c>
      <c r="H327" s="11">
        <f>+E327/8.75</f>
        <v>1.5771428571428572</v>
      </c>
      <c r="I327" s="11" t="s">
        <v>248</v>
      </c>
    </row>
    <row r="328" spans="1:9" x14ac:dyDescent="0.2">
      <c r="A328" s="13">
        <v>42083</v>
      </c>
      <c r="B328" s="5" t="s">
        <v>12</v>
      </c>
      <c r="C328" s="5" t="s">
        <v>12</v>
      </c>
      <c r="D328" s="5" t="s">
        <v>12</v>
      </c>
      <c r="E328" s="11">
        <f>+(14+13.4)/2</f>
        <v>13.7</v>
      </c>
      <c r="F328" s="11">
        <f>+(13.4+12.46+12.8+11.9)/4</f>
        <v>12.639999999999999</v>
      </c>
      <c r="G328" s="11">
        <f>+(14+13.4)/2</f>
        <v>13.7</v>
      </c>
      <c r="H328" s="11">
        <f>+E328/8.76</f>
        <v>1.5639269406392693</v>
      </c>
      <c r="I328" s="11" t="s">
        <v>248</v>
      </c>
    </row>
    <row r="329" spans="1:9" x14ac:dyDescent="0.2">
      <c r="A329" s="13">
        <v>42090</v>
      </c>
      <c r="B329" s="5" t="s">
        <v>12</v>
      </c>
      <c r="C329" s="5" t="s">
        <v>12</v>
      </c>
      <c r="D329" s="5" t="s">
        <v>12</v>
      </c>
      <c r="E329" s="5" t="s">
        <v>12</v>
      </c>
      <c r="F329" s="5" t="s">
        <v>12</v>
      </c>
      <c r="G329" s="5" t="s">
        <v>12</v>
      </c>
      <c r="H329" s="5" t="s">
        <v>12</v>
      </c>
      <c r="I329" s="11">
        <v>3.72</v>
      </c>
    </row>
    <row r="330" spans="1:9" x14ac:dyDescent="0.2">
      <c r="A330" s="13">
        <v>42095</v>
      </c>
      <c r="B330" s="5" t="s">
        <v>12</v>
      </c>
      <c r="C330" s="5" t="s">
        <v>12</v>
      </c>
      <c r="D330" s="5" t="s">
        <v>12</v>
      </c>
      <c r="E330" s="11">
        <f>+(12.9+12.3)/2</f>
        <v>12.600000000000001</v>
      </c>
      <c r="F330" s="11">
        <f>+(12.3+11.44+11.7+10.88)/4</f>
        <v>11.58</v>
      </c>
      <c r="G330" s="11">
        <f>+(12.9+12.3)/2</f>
        <v>12.600000000000001</v>
      </c>
      <c r="H330" s="11">
        <f>+E330/8.78</f>
        <v>1.435079726651481</v>
      </c>
      <c r="I330" s="11">
        <v>3.73</v>
      </c>
    </row>
    <row r="331" spans="1:9" x14ac:dyDescent="0.2">
      <c r="A331" s="13">
        <v>42104</v>
      </c>
      <c r="B331" s="5" t="s">
        <v>12</v>
      </c>
      <c r="C331" s="5" t="s">
        <v>12</v>
      </c>
      <c r="D331" s="5" t="s">
        <v>12</v>
      </c>
      <c r="E331" s="11">
        <f>+(12.5+11.9)/2</f>
        <v>12.2</v>
      </c>
      <c r="F331" s="11">
        <f>+(11.9+11.07+11.3+10.51)/4</f>
        <v>11.194999999999999</v>
      </c>
      <c r="G331" s="11">
        <f>+(12.5+11.9)/2</f>
        <v>12.2</v>
      </c>
      <c r="H331" s="11">
        <f>+E331/8.8</f>
        <v>1.3863636363636362</v>
      </c>
      <c r="I331" s="11">
        <v>3.44</v>
      </c>
    </row>
    <row r="332" spans="1:9" x14ac:dyDescent="0.2">
      <c r="A332" s="13">
        <v>42111</v>
      </c>
      <c r="B332" s="5" t="s">
        <v>12</v>
      </c>
      <c r="C332" s="5" t="s">
        <v>12</v>
      </c>
      <c r="D332" s="5" t="s">
        <v>12</v>
      </c>
      <c r="E332" s="11">
        <f t="shared" ref="E332:G340" si="27">+(12+11.4)/2</f>
        <v>11.7</v>
      </c>
      <c r="F332" s="11">
        <f>+(11.4+10.6+10.8+10.04)/4</f>
        <v>10.709999999999999</v>
      </c>
      <c r="G332" s="11">
        <f t="shared" si="27"/>
        <v>11.7</v>
      </c>
      <c r="H332" s="11">
        <f>+E332/8.82</f>
        <v>1.3265306122448979</v>
      </c>
      <c r="I332" s="11">
        <v>3.42</v>
      </c>
    </row>
    <row r="333" spans="1:9" x14ac:dyDescent="0.2">
      <c r="A333" s="13">
        <v>42118</v>
      </c>
      <c r="B333" s="5" t="s">
        <v>12</v>
      </c>
      <c r="C333" s="5" t="s">
        <v>12</v>
      </c>
      <c r="D333" s="5" t="s">
        <v>12</v>
      </c>
      <c r="E333" s="11">
        <f t="shared" si="27"/>
        <v>11.7</v>
      </c>
      <c r="F333" s="11">
        <f>+(11.4+10.6+10.8+10.04)/4</f>
        <v>10.709999999999999</v>
      </c>
      <c r="G333" s="11">
        <f t="shared" si="27"/>
        <v>11.7</v>
      </c>
      <c r="H333" s="11">
        <f>+E333/8.83</f>
        <v>1.3250283125707814</v>
      </c>
      <c r="I333" s="11">
        <v>3.42</v>
      </c>
    </row>
    <row r="334" spans="1:9" x14ac:dyDescent="0.2">
      <c r="A334" s="13">
        <v>42124</v>
      </c>
      <c r="B334" s="5" t="s">
        <v>12</v>
      </c>
      <c r="C334" s="5" t="s">
        <v>12</v>
      </c>
      <c r="D334" s="5" t="s">
        <v>12</v>
      </c>
      <c r="E334" s="11">
        <f t="shared" si="27"/>
        <v>11.7</v>
      </c>
      <c r="F334" s="11">
        <f>+(11.4+10.6+10.8+10.04)/4</f>
        <v>10.709999999999999</v>
      </c>
      <c r="G334" s="11">
        <f t="shared" si="27"/>
        <v>11.7</v>
      </c>
      <c r="H334" s="11">
        <f>+E334/8.85</f>
        <v>1.3220338983050848</v>
      </c>
      <c r="I334" s="11">
        <v>3.37</v>
      </c>
    </row>
    <row r="335" spans="1:9" x14ac:dyDescent="0.2">
      <c r="A335" s="13">
        <v>42132</v>
      </c>
      <c r="B335" s="5" t="s">
        <v>12</v>
      </c>
      <c r="C335" s="5" t="s">
        <v>12</v>
      </c>
      <c r="D335" s="5" t="s">
        <v>12</v>
      </c>
      <c r="E335" s="11">
        <f t="shared" si="27"/>
        <v>11.7</v>
      </c>
      <c r="F335" s="11">
        <f>+(11.4+10.6+10.8+10.04)/4</f>
        <v>10.709999999999999</v>
      </c>
      <c r="G335" s="11">
        <f t="shared" si="27"/>
        <v>11.7</v>
      </c>
      <c r="H335" s="11">
        <f>+E335/8.872</f>
        <v>1.3187556357078449</v>
      </c>
      <c r="I335" s="5" t="s">
        <v>12</v>
      </c>
    </row>
    <row r="336" spans="1:9" x14ac:dyDescent="0.2">
      <c r="A336" s="13">
        <v>42139</v>
      </c>
      <c r="B336" s="5" t="s">
        <v>12</v>
      </c>
      <c r="C336" s="5" t="s">
        <v>12</v>
      </c>
      <c r="D336" s="5" t="s">
        <v>12</v>
      </c>
      <c r="E336" s="11">
        <f t="shared" si="27"/>
        <v>11.7</v>
      </c>
      <c r="F336" s="11">
        <f>+(11.4+10.6+10.8+10.04)/4</f>
        <v>10.709999999999999</v>
      </c>
      <c r="G336" s="11">
        <f t="shared" si="27"/>
        <v>11.7</v>
      </c>
      <c r="H336" s="11">
        <f>+E336/8.89</f>
        <v>1.3160854893138356</v>
      </c>
      <c r="I336" s="11">
        <v>3.25</v>
      </c>
    </row>
    <row r="337" spans="1:9" x14ac:dyDescent="0.2">
      <c r="A337" s="13">
        <v>42146</v>
      </c>
      <c r="B337" s="5" t="s">
        <v>12</v>
      </c>
      <c r="C337" s="5" t="s">
        <v>12</v>
      </c>
      <c r="D337" s="5" t="s">
        <v>12</v>
      </c>
      <c r="E337" s="11">
        <f t="shared" si="27"/>
        <v>11.7</v>
      </c>
      <c r="F337" s="11">
        <f>+(11+10.4+10.23+9.67)/4</f>
        <v>10.324999999999999</v>
      </c>
      <c r="G337" s="11">
        <f t="shared" si="27"/>
        <v>11.7</v>
      </c>
      <c r="H337" s="11">
        <f>+E337/8.91</f>
        <v>1.3131313131313129</v>
      </c>
      <c r="I337" s="11">
        <v>3.32</v>
      </c>
    </row>
    <row r="338" spans="1:9" x14ac:dyDescent="0.2">
      <c r="A338" s="13">
        <v>42153</v>
      </c>
      <c r="B338" s="5" t="s">
        <v>12</v>
      </c>
      <c r="C338" s="5" t="s">
        <v>12</v>
      </c>
      <c r="D338" s="5" t="s">
        <v>12</v>
      </c>
      <c r="E338" s="11">
        <f t="shared" si="27"/>
        <v>11.7</v>
      </c>
      <c r="F338" s="11">
        <f>+(11+10.4+10.23+9.67)/4</f>
        <v>10.324999999999999</v>
      </c>
      <c r="G338" s="11">
        <f t="shared" si="27"/>
        <v>11.7</v>
      </c>
      <c r="H338" s="11">
        <f>+E338/8.94</f>
        <v>1.3087248322147651</v>
      </c>
      <c r="I338" s="11">
        <v>3.37</v>
      </c>
    </row>
    <row r="339" spans="1:9" x14ac:dyDescent="0.2">
      <c r="A339" s="13">
        <v>42160</v>
      </c>
      <c r="B339" s="5" t="s">
        <v>12</v>
      </c>
      <c r="C339" s="5" t="s">
        <v>12</v>
      </c>
      <c r="D339" s="5" t="s">
        <v>12</v>
      </c>
      <c r="E339" s="11">
        <f t="shared" si="27"/>
        <v>11.7</v>
      </c>
      <c r="F339" s="11">
        <f>+(11+10.4+10.23+9.67)/4</f>
        <v>10.324999999999999</v>
      </c>
      <c r="G339" s="11">
        <f t="shared" si="27"/>
        <v>11.7</v>
      </c>
      <c r="H339" s="11">
        <f>+E339/8.97</f>
        <v>1.3043478260869563</v>
      </c>
      <c r="I339" s="11">
        <v>3.28</v>
      </c>
    </row>
    <row r="340" spans="1:9" x14ac:dyDescent="0.2">
      <c r="A340" s="13">
        <v>42167</v>
      </c>
      <c r="B340" s="5" t="s">
        <v>12</v>
      </c>
      <c r="C340" s="5" t="s">
        <v>12</v>
      </c>
      <c r="D340" s="5" t="s">
        <v>12</v>
      </c>
      <c r="E340" s="11">
        <f t="shared" si="27"/>
        <v>11.7</v>
      </c>
      <c r="F340" s="11">
        <f>+(11+10.4+10.23+9.67)/4</f>
        <v>10.324999999999999</v>
      </c>
      <c r="G340" s="11">
        <f t="shared" si="27"/>
        <v>11.7</v>
      </c>
      <c r="H340" s="11">
        <f>+E340/8.99</f>
        <v>1.3014460511679642</v>
      </c>
      <c r="I340" s="11">
        <v>3.21</v>
      </c>
    </row>
    <row r="341" spans="1:9" x14ac:dyDescent="0.2">
      <c r="A341" s="13">
        <v>42174</v>
      </c>
      <c r="B341" s="5" t="s">
        <v>12</v>
      </c>
      <c r="C341" s="5" t="s">
        <v>12</v>
      </c>
      <c r="D341" s="5" t="s">
        <v>12</v>
      </c>
      <c r="E341" s="11">
        <f>+(11.5+10.9)/2</f>
        <v>11.2</v>
      </c>
      <c r="F341" s="11">
        <f>+(10.5+9.76+9.9+9.21)/4</f>
        <v>9.8424999999999994</v>
      </c>
      <c r="G341" s="11">
        <f>+(11.5+10.9)/2</f>
        <v>11.2</v>
      </c>
      <c r="H341" s="11">
        <f>+E341/9</f>
        <v>1.2444444444444445</v>
      </c>
      <c r="I341" s="14">
        <v>3.16</v>
      </c>
    </row>
    <row r="342" spans="1:9" x14ac:dyDescent="0.2">
      <c r="A342" s="13">
        <v>42177</v>
      </c>
      <c r="B342" s="5" t="s">
        <v>12</v>
      </c>
      <c r="C342" s="5" t="s">
        <v>12</v>
      </c>
      <c r="D342" s="5" t="s">
        <v>12</v>
      </c>
      <c r="E342" s="11">
        <f>+(11.5+10.9)/2</f>
        <v>11.2</v>
      </c>
      <c r="F342" s="11">
        <f>+(10.5+9.76+9.9+9.21)/4</f>
        <v>9.8424999999999994</v>
      </c>
      <c r="G342" s="11">
        <f>+(11.5+10.9)/2</f>
        <v>11.2</v>
      </c>
      <c r="H342" s="11">
        <f>+E342/9.02</f>
        <v>1.2416851441241685</v>
      </c>
      <c r="I342" s="14">
        <v>2.72</v>
      </c>
    </row>
    <row r="343" spans="1:9" x14ac:dyDescent="0.2">
      <c r="A343" s="13">
        <v>42188</v>
      </c>
      <c r="B343" s="5" t="s">
        <v>12</v>
      </c>
      <c r="C343" s="5" t="s">
        <v>12</v>
      </c>
      <c r="D343" s="5" t="s">
        <v>12</v>
      </c>
      <c r="E343" s="11">
        <f>+(11+10.4)/2</f>
        <v>10.7</v>
      </c>
      <c r="F343" s="11">
        <f>+(10+9.3+9.4+8.74)/4</f>
        <v>9.3600000000000012</v>
      </c>
      <c r="G343" s="11">
        <f>+(11+10.4)/2</f>
        <v>10.7</v>
      </c>
      <c r="H343" s="11">
        <f>+E343/9.05</f>
        <v>1.1823204419889501</v>
      </c>
      <c r="I343" s="14">
        <v>2.67</v>
      </c>
    </row>
    <row r="344" spans="1:9" x14ac:dyDescent="0.2">
      <c r="A344" s="13">
        <v>42195</v>
      </c>
      <c r="B344" s="5" t="s">
        <v>12</v>
      </c>
      <c r="C344" s="5" t="s">
        <v>12</v>
      </c>
      <c r="D344" s="5" t="s">
        <v>12</v>
      </c>
      <c r="E344" s="11">
        <f>+(10.5+9.9)/2</f>
        <v>10.199999999999999</v>
      </c>
      <c r="F344" s="11">
        <f>+(9.5+8.83+8.9+8.28)/4</f>
        <v>8.8774999999999995</v>
      </c>
      <c r="G344" s="11">
        <f>+(10.5+9.9)/2</f>
        <v>10.199999999999999</v>
      </c>
      <c r="H344" s="11">
        <f>+E344/9.07</f>
        <v>1.1245865490628444</v>
      </c>
      <c r="I344" s="14">
        <v>2.67</v>
      </c>
    </row>
    <row r="345" spans="1:9" x14ac:dyDescent="0.2">
      <c r="A345" s="13">
        <v>42202</v>
      </c>
      <c r="B345" s="5" t="s">
        <v>12</v>
      </c>
      <c r="C345" s="5" t="s">
        <v>12</v>
      </c>
      <c r="D345" s="5" t="s">
        <v>12</v>
      </c>
      <c r="E345" s="11">
        <f>+(9.5+8.9)/2</f>
        <v>9.1999999999999993</v>
      </c>
      <c r="F345" s="11">
        <f>+(8.5+7.9+7.9+7.35)/4</f>
        <v>7.9124999999999996</v>
      </c>
      <c r="G345" s="11">
        <f>+(9.5+8.9)/2</f>
        <v>9.1999999999999993</v>
      </c>
      <c r="H345" s="11">
        <f>+E345/9.1</f>
        <v>1.0109890109890109</v>
      </c>
      <c r="I345" s="5" t="s">
        <v>12</v>
      </c>
    </row>
    <row r="346" spans="1:9" x14ac:dyDescent="0.2">
      <c r="A346" s="13">
        <v>42209</v>
      </c>
      <c r="B346" s="5" t="s">
        <v>12</v>
      </c>
      <c r="C346" s="5" t="s">
        <v>12</v>
      </c>
      <c r="D346" s="5" t="s">
        <v>12</v>
      </c>
      <c r="E346" s="11">
        <f>+(9.5+8.9)/2</f>
        <v>9.1999999999999993</v>
      </c>
      <c r="F346" s="11">
        <f>+(8.5+7.9+7.9+7.35)/4</f>
        <v>7.9124999999999996</v>
      </c>
      <c r="G346" s="11">
        <f>+(9.5+8.9)/2</f>
        <v>9.1999999999999993</v>
      </c>
      <c r="H346" s="11">
        <f>+E346/9.11</f>
        <v>1.0098792535675083</v>
      </c>
      <c r="I346" s="14">
        <v>2.39</v>
      </c>
    </row>
    <row r="347" spans="1:9" x14ac:dyDescent="0.2">
      <c r="A347" s="13">
        <v>42216</v>
      </c>
      <c r="B347" s="5" t="s">
        <v>12</v>
      </c>
      <c r="C347" s="5" t="s">
        <v>12</v>
      </c>
      <c r="D347" s="5" t="s">
        <v>12</v>
      </c>
      <c r="E347" s="11">
        <f>+(9.5+8.9)/2</f>
        <v>9.1999999999999993</v>
      </c>
      <c r="F347" s="11">
        <f>+(8.5+7.9+7.9+7.35)/4</f>
        <v>7.9124999999999996</v>
      </c>
      <c r="G347" s="11">
        <f>+(9.5+8.9)/2</f>
        <v>9.1999999999999993</v>
      </c>
      <c r="H347" s="11">
        <f>+E347/9.14</f>
        <v>1.0065645514223194</v>
      </c>
      <c r="I347" s="14">
        <v>2.38</v>
      </c>
    </row>
    <row r="348" spans="1:9" x14ac:dyDescent="0.2">
      <c r="A348" s="13">
        <v>42223</v>
      </c>
      <c r="B348" s="5" t="s">
        <v>12</v>
      </c>
      <c r="C348" s="5" t="s">
        <v>12</v>
      </c>
      <c r="D348" s="5" t="s">
        <v>12</v>
      </c>
      <c r="E348" s="11">
        <f>+(9.5+8.9)/2</f>
        <v>9.1999999999999993</v>
      </c>
      <c r="F348" s="11">
        <f>+(8.5+7.9+7.9+7.35)/4</f>
        <v>7.9124999999999996</v>
      </c>
      <c r="G348" s="11">
        <f>+(9.5+8.9)/2</f>
        <v>9.1999999999999993</v>
      </c>
      <c r="H348" s="11">
        <f>+E348/9.16</f>
        <v>1.0043668122270741</v>
      </c>
      <c r="I348" s="14">
        <v>2.44</v>
      </c>
    </row>
    <row r="349" spans="1:9" x14ac:dyDescent="0.2">
      <c r="A349" s="13">
        <v>42230</v>
      </c>
      <c r="B349" s="5" t="s">
        <v>12</v>
      </c>
      <c r="C349" s="5" t="s">
        <v>12</v>
      </c>
      <c r="D349" s="5" t="s">
        <v>12</v>
      </c>
      <c r="E349" s="11">
        <f>+(9.5+8.9)/2</f>
        <v>9.1999999999999993</v>
      </c>
      <c r="F349" s="11">
        <f>+(8.5+7.9+7.9+7.35)/4</f>
        <v>7.9124999999999996</v>
      </c>
      <c r="G349" s="11">
        <f>+(9.5+8.9)/2</f>
        <v>9.1999999999999993</v>
      </c>
      <c r="H349" s="11">
        <f>+E349/9.18</f>
        <v>1.0021786492374727</v>
      </c>
      <c r="I349" s="14">
        <v>2.5499999999999998</v>
      </c>
    </row>
    <row r="350" spans="1:9" x14ac:dyDescent="0.2">
      <c r="A350" s="13">
        <v>42237</v>
      </c>
      <c r="B350" s="5" t="s">
        <v>12</v>
      </c>
      <c r="C350" s="5" t="s">
        <v>12</v>
      </c>
      <c r="D350" s="5" t="s">
        <v>12</v>
      </c>
      <c r="E350" s="11">
        <f t="shared" ref="E350:E366" si="28">+(9+8.4)/2</f>
        <v>8.6999999999999993</v>
      </c>
      <c r="F350" s="11">
        <f t="shared" ref="F350:F366" si="29">+(8+7.44+7.44+6.88)/4</f>
        <v>7.44</v>
      </c>
      <c r="G350" s="11">
        <f t="shared" ref="G350:G366" si="30">+(9+8.4)/2</f>
        <v>8.6999999999999993</v>
      </c>
      <c r="H350" s="11">
        <f>+E350/9.2</f>
        <v>0.94565217391304346</v>
      </c>
      <c r="I350" s="14">
        <v>2.5499999999999998</v>
      </c>
    </row>
    <row r="351" spans="1:9" x14ac:dyDescent="0.2">
      <c r="A351" s="13">
        <v>42244</v>
      </c>
      <c r="B351" s="5" t="s">
        <v>12</v>
      </c>
      <c r="C351" s="5" t="s">
        <v>12</v>
      </c>
      <c r="D351" s="5" t="s">
        <v>12</v>
      </c>
      <c r="E351" s="11">
        <f t="shared" si="28"/>
        <v>8.6999999999999993</v>
      </c>
      <c r="F351" s="11">
        <f t="shared" si="29"/>
        <v>7.44</v>
      </c>
      <c r="G351" s="11">
        <f t="shared" si="30"/>
        <v>8.6999999999999993</v>
      </c>
      <c r="H351" s="11">
        <f>+E351/9.23</f>
        <v>0.94257854821235088</v>
      </c>
      <c r="I351" s="14">
        <v>2.62</v>
      </c>
    </row>
    <row r="352" spans="1:9" x14ac:dyDescent="0.2">
      <c r="A352" s="13">
        <v>42251</v>
      </c>
      <c r="B352" s="5" t="s">
        <v>12</v>
      </c>
      <c r="C352" s="5" t="s">
        <v>12</v>
      </c>
      <c r="D352" s="5" t="s">
        <v>12</v>
      </c>
      <c r="E352" s="11">
        <f t="shared" si="28"/>
        <v>8.6999999999999993</v>
      </c>
      <c r="F352" s="11">
        <f t="shared" si="29"/>
        <v>7.44</v>
      </c>
      <c r="G352" s="11">
        <f t="shared" si="30"/>
        <v>8.6999999999999993</v>
      </c>
      <c r="H352" s="11">
        <f>+E352/9.26</f>
        <v>0.93952483801295894</v>
      </c>
      <c r="I352" s="14">
        <v>2.62</v>
      </c>
    </row>
    <row r="353" spans="1:9" x14ac:dyDescent="0.2">
      <c r="A353" s="13">
        <v>42258</v>
      </c>
      <c r="B353" s="5" t="s">
        <v>12</v>
      </c>
      <c r="C353" s="5" t="s">
        <v>12</v>
      </c>
      <c r="D353" s="5" t="s">
        <v>12</v>
      </c>
      <c r="E353" s="11">
        <f t="shared" si="28"/>
        <v>8.6999999999999993</v>
      </c>
      <c r="F353" s="11">
        <f t="shared" si="29"/>
        <v>7.44</v>
      </c>
      <c r="G353" s="11">
        <f t="shared" si="30"/>
        <v>8.6999999999999993</v>
      </c>
      <c r="H353" s="11">
        <f>+E353/9.294</f>
        <v>0.93608779857972868</v>
      </c>
      <c r="I353" s="14">
        <v>2.62</v>
      </c>
    </row>
    <row r="354" spans="1:9" x14ac:dyDescent="0.2">
      <c r="A354" s="13">
        <v>42265</v>
      </c>
      <c r="B354" s="5" t="s">
        <v>12</v>
      </c>
      <c r="C354" s="5" t="s">
        <v>12</v>
      </c>
      <c r="D354" s="5" t="s">
        <v>12</v>
      </c>
      <c r="E354" s="11">
        <f t="shared" si="28"/>
        <v>8.6999999999999993</v>
      </c>
      <c r="F354" s="11">
        <f t="shared" si="29"/>
        <v>7.44</v>
      </c>
      <c r="G354" s="11">
        <f t="shared" si="30"/>
        <v>8.6999999999999993</v>
      </c>
      <c r="H354" s="11">
        <f>+E354/9.321</f>
        <v>0.93337624718377854</v>
      </c>
      <c r="I354" s="14">
        <v>2.54</v>
      </c>
    </row>
    <row r="355" spans="1:9" x14ac:dyDescent="0.2">
      <c r="A355" s="13">
        <v>42272</v>
      </c>
      <c r="B355" s="5" t="s">
        <v>12</v>
      </c>
      <c r="C355" s="5" t="s">
        <v>12</v>
      </c>
      <c r="D355" s="5" t="s">
        <v>12</v>
      </c>
      <c r="E355" s="11">
        <f t="shared" si="28"/>
        <v>8.6999999999999993</v>
      </c>
      <c r="F355" s="11">
        <f t="shared" si="29"/>
        <v>7.44</v>
      </c>
      <c r="G355" s="11">
        <f t="shared" si="30"/>
        <v>8.6999999999999993</v>
      </c>
      <c r="H355" s="11">
        <f>+E355/9.36</f>
        <v>0.92948717948717952</v>
      </c>
      <c r="I355" s="14">
        <v>2.54</v>
      </c>
    </row>
    <row r="356" spans="1:9" x14ac:dyDescent="0.2">
      <c r="A356" s="13">
        <v>42279</v>
      </c>
      <c r="B356" s="5" t="s">
        <v>12</v>
      </c>
      <c r="C356" s="5" t="s">
        <v>12</v>
      </c>
      <c r="D356" s="5" t="s">
        <v>12</v>
      </c>
      <c r="E356" s="11">
        <f t="shared" si="28"/>
        <v>8.6999999999999993</v>
      </c>
      <c r="F356" s="11">
        <f t="shared" si="29"/>
        <v>7.44</v>
      </c>
      <c r="G356" s="11">
        <f t="shared" si="30"/>
        <v>8.6999999999999993</v>
      </c>
      <c r="H356" s="11">
        <f>+E356/9.38</f>
        <v>0.92750533049040496</v>
      </c>
      <c r="I356" s="14">
        <v>2.4500000000000002</v>
      </c>
    </row>
    <row r="357" spans="1:9" x14ac:dyDescent="0.2">
      <c r="A357" s="13">
        <v>42286</v>
      </c>
      <c r="B357" s="5" t="s">
        <v>12</v>
      </c>
      <c r="C357" s="5" t="s">
        <v>12</v>
      </c>
      <c r="D357" s="5" t="s">
        <v>12</v>
      </c>
      <c r="E357" s="11">
        <f t="shared" si="28"/>
        <v>8.6999999999999993</v>
      </c>
      <c r="F357" s="11">
        <f t="shared" si="29"/>
        <v>7.44</v>
      </c>
      <c r="G357" s="11">
        <f t="shared" si="30"/>
        <v>8.6999999999999993</v>
      </c>
      <c r="H357" s="11">
        <f>+E357/9.41</f>
        <v>0.92454835281615289</v>
      </c>
      <c r="I357" s="5" t="s">
        <v>12</v>
      </c>
    </row>
    <row r="358" spans="1:9" x14ac:dyDescent="0.2">
      <c r="A358" s="13">
        <v>42293</v>
      </c>
      <c r="B358" s="5" t="s">
        <v>12</v>
      </c>
      <c r="C358" s="5" t="s">
        <v>12</v>
      </c>
      <c r="D358" s="5" t="s">
        <v>12</v>
      </c>
      <c r="E358" s="11">
        <f t="shared" si="28"/>
        <v>8.6999999999999993</v>
      </c>
      <c r="F358" s="11">
        <f t="shared" si="29"/>
        <v>7.44</v>
      </c>
      <c r="G358" s="11">
        <f t="shared" si="30"/>
        <v>8.6999999999999993</v>
      </c>
      <c r="H358" s="11">
        <f>+E358/9.43</f>
        <v>0.92258748674443258</v>
      </c>
      <c r="I358" s="5" t="s">
        <v>12</v>
      </c>
    </row>
    <row r="359" spans="1:9" x14ac:dyDescent="0.2">
      <c r="A359" s="13">
        <v>42300</v>
      </c>
      <c r="B359" s="5" t="s">
        <v>12</v>
      </c>
      <c r="C359" s="5" t="s">
        <v>12</v>
      </c>
      <c r="D359" s="5" t="s">
        <v>12</v>
      </c>
      <c r="E359" s="11">
        <f t="shared" si="28"/>
        <v>8.6999999999999993</v>
      </c>
      <c r="F359" s="11">
        <f t="shared" si="29"/>
        <v>7.44</v>
      </c>
      <c r="G359" s="11">
        <f t="shared" si="30"/>
        <v>8.6999999999999993</v>
      </c>
      <c r="H359" s="11">
        <f>+E359/9.46</f>
        <v>0.91966173361522185</v>
      </c>
      <c r="I359" s="5" t="s">
        <v>12</v>
      </c>
    </row>
    <row r="360" spans="1:9" x14ac:dyDescent="0.2">
      <c r="A360" s="13">
        <v>42307</v>
      </c>
      <c r="B360" s="5" t="s">
        <v>12</v>
      </c>
      <c r="C360" s="5" t="s">
        <v>12</v>
      </c>
      <c r="D360" s="5" t="s">
        <v>12</v>
      </c>
      <c r="E360" s="11">
        <f t="shared" si="28"/>
        <v>8.6999999999999993</v>
      </c>
      <c r="F360" s="11">
        <f t="shared" si="29"/>
        <v>7.44</v>
      </c>
      <c r="G360" s="11">
        <f t="shared" si="30"/>
        <v>8.6999999999999993</v>
      </c>
      <c r="H360" s="11">
        <f>+E360/9.5</f>
        <v>0.91578947368421049</v>
      </c>
      <c r="I360" s="14">
        <v>2.2400000000000002</v>
      </c>
    </row>
    <row r="361" spans="1:9" x14ac:dyDescent="0.2">
      <c r="A361" s="13">
        <v>42314</v>
      </c>
      <c r="B361" s="5" t="s">
        <v>12</v>
      </c>
      <c r="C361" s="5" t="s">
        <v>12</v>
      </c>
      <c r="D361" s="5" t="s">
        <v>12</v>
      </c>
      <c r="E361" s="11">
        <f t="shared" si="28"/>
        <v>8.6999999999999993</v>
      </c>
      <c r="F361" s="11">
        <f t="shared" si="29"/>
        <v>7.44</v>
      </c>
      <c r="G361" s="11">
        <f t="shared" si="30"/>
        <v>8.6999999999999993</v>
      </c>
      <c r="H361" s="11">
        <f>+E361/9.52</f>
        <v>0.91386554621848737</v>
      </c>
      <c r="I361" s="14">
        <v>2.23</v>
      </c>
    </row>
    <row r="362" spans="1:9" x14ac:dyDescent="0.2">
      <c r="A362" s="13">
        <v>42321</v>
      </c>
      <c r="B362" s="5" t="s">
        <v>12</v>
      </c>
      <c r="C362" s="5" t="s">
        <v>12</v>
      </c>
      <c r="D362" s="5" t="s">
        <v>12</v>
      </c>
      <c r="E362" s="11">
        <f t="shared" si="28"/>
        <v>8.6999999999999993</v>
      </c>
      <c r="F362" s="11">
        <f t="shared" si="29"/>
        <v>7.44</v>
      </c>
      <c r="G362" s="11">
        <f t="shared" si="30"/>
        <v>8.6999999999999993</v>
      </c>
      <c r="H362" s="11">
        <f>+E362/9.56</f>
        <v>0.91004184100418395</v>
      </c>
      <c r="I362" s="14">
        <v>2.27</v>
      </c>
    </row>
    <row r="363" spans="1:9" x14ac:dyDescent="0.2">
      <c r="A363" s="13">
        <v>42328</v>
      </c>
      <c r="B363" s="5" t="s">
        <v>12</v>
      </c>
      <c r="C363" s="5" t="s">
        <v>12</v>
      </c>
      <c r="D363" s="5" t="s">
        <v>12</v>
      </c>
      <c r="E363" s="11">
        <f t="shared" si="28"/>
        <v>8.6999999999999993</v>
      </c>
      <c r="F363" s="11">
        <f t="shared" si="29"/>
        <v>7.44</v>
      </c>
      <c r="G363" s="11">
        <f t="shared" si="30"/>
        <v>8.6999999999999993</v>
      </c>
      <c r="H363" s="11">
        <f>+E363/9.6</f>
        <v>0.90625</v>
      </c>
      <c r="I363" s="14">
        <v>2.27</v>
      </c>
    </row>
    <row r="364" spans="1:9" x14ac:dyDescent="0.2">
      <c r="A364" s="13">
        <v>42334</v>
      </c>
      <c r="B364" s="5" t="s">
        <v>12</v>
      </c>
      <c r="C364" s="5" t="s">
        <v>12</v>
      </c>
      <c r="D364" s="5" t="s">
        <v>12</v>
      </c>
      <c r="E364" s="11">
        <f t="shared" si="28"/>
        <v>8.6999999999999993</v>
      </c>
      <c r="F364" s="11">
        <f t="shared" si="29"/>
        <v>7.44</v>
      </c>
      <c r="G364" s="11">
        <f t="shared" si="30"/>
        <v>8.6999999999999993</v>
      </c>
      <c r="H364" s="11">
        <f>+E364/9.63</f>
        <v>0.90342679127725845</v>
      </c>
      <c r="I364" s="14">
        <v>2.27</v>
      </c>
    </row>
    <row r="365" spans="1:9" x14ac:dyDescent="0.2">
      <c r="A365" s="13">
        <v>42342</v>
      </c>
      <c r="B365" s="5" t="s">
        <v>12</v>
      </c>
      <c r="C365" s="5" t="s">
        <v>12</v>
      </c>
      <c r="D365" s="5" t="s">
        <v>12</v>
      </c>
      <c r="E365" s="11">
        <f t="shared" si="28"/>
        <v>8.6999999999999993</v>
      </c>
      <c r="F365" s="11">
        <f t="shared" si="29"/>
        <v>7.44</v>
      </c>
      <c r="G365" s="11">
        <f t="shared" si="30"/>
        <v>8.6999999999999993</v>
      </c>
      <c r="H365" s="11">
        <f>+E365/9.67</f>
        <v>0.8996897621509824</v>
      </c>
      <c r="I365" s="5" t="s">
        <v>12</v>
      </c>
    </row>
    <row r="366" spans="1:9" x14ac:dyDescent="0.2">
      <c r="A366" s="13">
        <v>42349</v>
      </c>
      <c r="B366" s="5" t="s">
        <v>12</v>
      </c>
      <c r="C366" s="5" t="s">
        <v>12</v>
      </c>
      <c r="D366" s="5" t="s">
        <v>12</v>
      </c>
      <c r="E366" s="11">
        <f t="shared" si="28"/>
        <v>8.6999999999999993</v>
      </c>
      <c r="F366" s="11">
        <f t="shared" si="29"/>
        <v>7.44</v>
      </c>
      <c r="G366" s="11">
        <f t="shared" si="30"/>
        <v>8.6999999999999993</v>
      </c>
      <c r="H366" s="11">
        <f>+E366/9.7</f>
        <v>0.89690721649484539</v>
      </c>
      <c r="I366" s="14">
        <v>2.27</v>
      </c>
    </row>
    <row r="367" spans="1:9" x14ac:dyDescent="0.2">
      <c r="A367" s="13">
        <v>42356</v>
      </c>
      <c r="B367" s="5" t="s">
        <v>12</v>
      </c>
      <c r="C367" s="5" t="s">
        <v>12</v>
      </c>
      <c r="D367" s="5" t="s">
        <v>12</v>
      </c>
      <c r="E367" s="5" t="s">
        <v>12</v>
      </c>
      <c r="F367" s="5" t="s">
        <v>12</v>
      </c>
      <c r="G367" s="5" t="s">
        <v>12</v>
      </c>
      <c r="H367" s="5" t="s">
        <v>12</v>
      </c>
      <c r="I367" s="14">
        <v>2.27</v>
      </c>
    </row>
    <row r="368" spans="1:9" x14ac:dyDescent="0.2">
      <c r="A368" s="13">
        <v>42361</v>
      </c>
      <c r="B368" s="5" t="s">
        <v>12</v>
      </c>
      <c r="C368" s="5" t="s">
        <v>12</v>
      </c>
      <c r="D368" s="5" t="s">
        <v>12</v>
      </c>
      <c r="E368" s="11">
        <f>+(13+12.4)/2</f>
        <v>12.7</v>
      </c>
      <c r="F368" s="11">
        <f>+(11.8+10.97+11.4+10.6)/4</f>
        <v>11.192500000000001</v>
      </c>
      <c r="G368" s="11">
        <f>+(13+12.4)/2</f>
        <v>12.7</v>
      </c>
      <c r="H368" s="11">
        <f>+E368/12.9</f>
        <v>0.98449612403100772</v>
      </c>
      <c r="I368" s="14">
        <v>2.4</v>
      </c>
    </row>
    <row r="369" spans="1:9" x14ac:dyDescent="0.2">
      <c r="A369" s="13">
        <v>42368</v>
      </c>
      <c r="B369" s="5" t="s">
        <v>12</v>
      </c>
      <c r="C369" s="5" t="s">
        <v>12</v>
      </c>
      <c r="D369" s="5" t="s">
        <v>12</v>
      </c>
      <c r="E369" s="11">
        <f>+(13+12.4)/2</f>
        <v>12.7</v>
      </c>
      <c r="F369" s="11">
        <f>+(11.8+10.97+11.4+10.6)/4</f>
        <v>11.192500000000001</v>
      </c>
      <c r="G369" s="11">
        <f>+(13+12.4)/2</f>
        <v>12.7</v>
      </c>
      <c r="H369" s="11">
        <f>+E369/12.9</f>
        <v>0.98449612403100772</v>
      </c>
      <c r="I369" s="14">
        <v>2.4</v>
      </c>
    </row>
    <row r="370" spans="1:9" x14ac:dyDescent="0.2">
      <c r="A370" s="21">
        <v>42377</v>
      </c>
      <c r="B370" s="22" t="s">
        <v>12</v>
      </c>
      <c r="C370" s="22" t="s">
        <v>12</v>
      </c>
      <c r="D370" s="22" t="s">
        <v>12</v>
      </c>
      <c r="E370" s="23">
        <f>+(13+12.4)/2</f>
        <v>12.7</v>
      </c>
      <c r="F370" s="23">
        <f>+(11.8+10.97+11.4+10.6)/4</f>
        <v>11.192500000000001</v>
      </c>
      <c r="G370" s="23">
        <f>+(13+12.4)/2</f>
        <v>12.7</v>
      </c>
      <c r="H370" s="23">
        <f>+E370/13.9</f>
        <v>0.91366906474820131</v>
      </c>
      <c r="I370" s="24">
        <v>2.44</v>
      </c>
    </row>
    <row r="371" spans="1:9" x14ac:dyDescent="0.2">
      <c r="A371" s="21">
        <v>42384</v>
      </c>
      <c r="B371" s="22" t="s">
        <v>12</v>
      </c>
      <c r="C371" s="22" t="s">
        <v>12</v>
      </c>
      <c r="D371" s="22" t="s">
        <v>12</v>
      </c>
      <c r="E371" s="23">
        <f>+(13+12.4)/2</f>
        <v>12.7</v>
      </c>
      <c r="F371" s="23">
        <f>+(11.8+10.97+11.4+10.6)/4</f>
        <v>11.192500000000001</v>
      </c>
      <c r="G371" s="23">
        <f>+(13+12.4)/2</f>
        <v>12.7</v>
      </c>
      <c r="H371" s="23">
        <f>+E371/13.5</f>
        <v>0.94074074074074066</v>
      </c>
      <c r="I371" s="24">
        <v>2.44</v>
      </c>
    </row>
    <row r="372" spans="1:9" x14ac:dyDescent="0.2">
      <c r="A372" s="21">
        <v>42391</v>
      </c>
      <c r="B372" s="22" t="s">
        <v>12</v>
      </c>
      <c r="C372" s="22" t="s">
        <v>12</v>
      </c>
      <c r="D372" s="22" t="s">
        <v>12</v>
      </c>
      <c r="E372" s="23">
        <f>+(13.5+12.9)/2</f>
        <v>13.2</v>
      </c>
      <c r="F372" s="23">
        <f>+(12.3+11.44+11.9+11.07)/4</f>
        <v>11.6775</v>
      </c>
      <c r="G372" s="23">
        <f>+(13.5+12.9)/2</f>
        <v>13.2</v>
      </c>
      <c r="H372" s="23">
        <f>+E372/13.45</f>
        <v>0.98141263940520451</v>
      </c>
      <c r="I372" s="24">
        <v>2.44</v>
      </c>
    </row>
    <row r="373" spans="1:9" x14ac:dyDescent="0.2">
      <c r="A373" s="21">
        <v>42398</v>
      </c>
      <c r="B373" s="22" t="s">
        <v>12</v>
      </c>
      <c r="C373" s="22" t="s">
        <v>12</v>
      </c>
      <c r="D373" s="22" t="s">
        <v>12</v>
      </c>
      <c r="E373" s="23">
        <f t="shared" ref="E373:E384" si="31">+(14+13.4)/2</f>
        <v>13.7</v>
      </c>
      <c r="F373" s="23">
        <f t="shared" ref="F373:F384" si="32">+(12.8+11.91+12.4+11.54)/4</f>
        <v>12.1625</v>
      </c>
      <c r="G373" s="23">
        <f t="shared" ref="G373:G384" si="33">+(14+13.4)/2</f>
        <v>13.7</v>
      </c>
      <c r="H373" s="23">
        <f>+E373/13.85</f>
        <v>0.98916967509025266</v>
      </c>
      <c r="I373" s="24">
        <v>2.41</v>
      </c>
    </row>
    <row r="374" spans="1:9" x14ac:dyDescent="0.2">
      <c r="A374" s="21">
        <v>42405</v>
      </c>
      <c r="B374" s="22" t="s">
        <v>12</v>
      </c>
      <c r="C374" s="22" t="s">
        <v>12</v>
      </c>
      <c r="D374" s="22" t="s">
        <v>12</v>
      </c>
      <c r="E374" s="23">
        <f t="shared" si="31"/>
        <v>13.7</v>
      </c>
      <c r="F374" s="23">
        <f t="shared" si="32"/>
        <v>12.1625</v>
      </c>
      <c r="G374" s="23">
        <f t="shared" si="33"/>
        <v>13.7</v>
      </c>
      <c r="H374" s="23">
        <f>+E374/14.11</f>
        <v>0.9709425939050319</v>
      </c>
      <c r="I374" s="24">
        <v>2.2999999999999998</v>
      </c>
    </row>
    <row r="375" spans="1:9" x14ac:dyDescent="0.2">
      <c r="A375" s="21">
        <v>42412</v>
      </c>
      <c r="B375" s="22" t="s">
        <v>12</v>
      </c>
      <c r="C375" s="22" t="s">
        <v>12</v>
      </c>
      <c r="D375" s="22" t="s">
        <v>12</v>
      </c>
      <c r="E375" s="23">
        <f t="shared" si="31"/>
        <v>13.7</v>
      </c>
      <c r="F375" s="23">
        <f t="shared" si="32"/>
        <v>12.1625</v>
      </c>
      <c r="G375" s="23">
        <f t="shared" si="33"/>
        <v>13.7</v>
      </c>
      <c r="H375" s="23">
        <f>+E375/14.5</f>
        <v>0.94482758620689655</v>
      </c>
      <c r="I375" s="24">
        <v>2.2999999999999998</v>
      </c>
    </row>
    <row r="376" spans="1:9" x14ac:dyDescent="0.2">
      <c r="A376" s="21">
        <v>42419</v>
      </c>
      <c r="B376" s="22" t="s">
        <v>12</v>
      </c>
      <c r="C376" s="22" t="s">
        <v>12</v>
      </c>
      <c r="D376" s="22" t="s">
        <v>12</v>
      </c>
      <c r="E376" s="23">
        <f t="shared" si="31"/>
        <v>13.7</v>
      </c>
      <c r="F376" s="23">
        <f t="shared" si="32"/>
        <v>12.1625</v>
      </c>
      <c r="G376" s="23">
        <f t="shared" si="33"/>
        <v>13.7</v>
      </c>
      <c r="H376" s="23">
        <f>+E376/14.95</f>
        <v>0.91638795986622068</v>
      </c>
      <c r="I376" s="24">
        <v>2.2999999999999998</v>
      </c>
    </row>
    <row r="377" spans="1:9" x14ac:dyDescent="0.2">
      <c r="A377" s="21">
        <v>42426</v>
      </c>
      <c r="B377" s="22" t="s">
        <v>12</v>
      </c>
      <c r="C377" s="22" t="s">
        <v>12</v>
      </c>
      <c r="D377" s="22" t="s">
        <v>12</v>
      </c>
      <c r="E377" s="23">
        <f t="shared" si="31"/>
        <v>13.7</v>
      </c>
      <c r="F377" s="23">
        <f t="shared" si="32"/>
        <v>12.1625</v>
      </c>
      <c r="G377" s="23">
        <f t="shared" si="33"/>
        <v>13.7</v>
      </c>
      <c r="H377" s="23">
        <f>+E377/15.3</f>
        <v>0.89542483660130712</v>
      </c>
      <c r="I377" s="24">
        <v>2.2999999999999998</v>
      </c>
    </row>
    <row r="378" spans="1:9" x14ac:dyDescent="0.2">
      <c r="A378" s="21">
        <v>42433</v>
      </c>
      <c r="B378" s="22" t="s">
        <v>12</v>
      </c>
      <c r="C378" s="22" t="s">
        <v>12</v>
      </c>
      <c r="D378" s="22" t="s">
        <v>12</v>
      </c>
      <c r="E378" s="23">
        <f t="shared" si="31"/>
        <v>13.7</v>
      </c>
      <c r="F378" s="23">
        <f t="shared" si="32"/>
        <v>12.1625</v>
      </c>
      <c r="G378" s="23">
        <f t="shared" si="33"/>
        <v>13.7</v>
      </c>
      <c r="H378" s="23">
        <f>+E378/15.6</f>
        <v>0.87820512820512819</v>
      </c>
      <c r="I378" s="24">
        <v>2.23</v>
      </c>
    </row>
    <row r="379" spans="1:9" x14ac:dyDescent="0.2">
      <c r="A379" s="21">
        <v>42440</v>
      </c>
      <c r="B379" s="22" t="s">
        <v>12</v>
      </c>
      <c r="C379" s="22" t="s">
        <v>12</v>
      </c>
      <c r="D379" s="22" t="s">
        <v>12</v>
      </c>
      <c r="E379" s="23">
        <f t="shared" si="31"/>
        <v>13.7</v>
      </c>
      <c r="F379" s="23">
        <f t="shared" si="32"/>
        <v>12.1625</v>
      </c>
      <c r="G379" s="23">
        <f t="shared" si="33"/>
        <v>13.7</v>
      </c>
      <c r="H379" s="23">
        <f>+E379/15.33</f>
        <v>0.8936725375081539</v>
      </c>
      <c r="I379" s="22" t="s">
        <v>12</v>
      </c>
    </row>
    <row r="380" spans="1:9" x14ac:dyDescent="0.2">
      <c r="A380" s="21">
        <v>42447</v>
      </c>
      <c r="B380" s="22" t="s">
        <v>12</v>
      </c>
      <c r="C380" s="22" t="s">
        <v>12</v>
      </c>
      <c r="D380" s="22" t="s">
        <v>12</v>
      </c>
      <c r="E380" s="23">
        <f t="shared" si="31"/>
        <v>13.7</v>
      </c>
      <c r="F380" s="23">
        <f t="shared" si="32"/>
        <v>12.1625</v>
      </c>
      <c r="G380" s="23">
        <f t="shared" si="33"/>
        <v>13.7</v>
      </c>
      <c r="H380" s="23">
        <f>+E380/14.6</f>
        <v>0.93835616438356162</v>
      </c>
      <c r="I380" s="22" t="s">
        <v>12</v>
      </c>
    </row>
    <row r="381" spans="1:9" x14ac:dyDescent="0.2">
      <c r="A381" s="21">
        <v>42452</v>
      </c>
      <c r="B381" s="22" t="s">
        <v>12</v>
      </c>
      <c r="C381" s="22" t="s">
        <v>12</v>
      </c>
      <c r="D381" s="22" t="s">
        <v>12</v>
      </c>
      <c r="E381" s="23">
        <f t="shared" si="31"/>
        <v>13.7</v>
      </c>
      <c r="F381" s="23">
        <f t="shared" si="32"/>
        <v>12.1625</v>
      </c>
      <c r="G381" s="23">
        <f t="shared" si="33"/>
        <v>13.7</v>
      </c>
      <c r="H381" s="23">
        <f>+E381/14.4</f>
        <v>0.95138888888888884</v>
      </c>
      <c r="I381" s="24">
        <v>2.4</v>
      </c>
    </row>
    <row r="382" spans="1:9" x14ac:dyDescent="0.2">
      <c r="A382" s="21">
        <v>42461</v>
      </c>
      <c r="B382" s="22" t="s">
        <v>12</v>
      </c>
      <c r="C382" s="22" t="s">
        <v>12</v>
      </c>
      <c r="D382" s="22" t="s">
        <v>12</v>
      </c>
      <c r="E382" s="23">
        <f t="shared" si="31"/>
        <v>13.7</v>
      </c>
      <c r="F382" s="23">
        <f t="shared" si="32"/>
        <v>12.1625</v>
      </c>
      <c r="G382" s="23">
        <f t="shared" si="33"/>
        <v>13.7</v>
      </c>
      <c r="H382" s="23">
        <f>+E382/14.7</f>
        <v>0.93197278911564629</v>
      </c>
      <c r="I382" s="24">
        <v>2.54</v>
      </c>
    </row>
    <row r="383" spans="1:9" x14ac:dyDescent="0.2">
      <c r="A383" s="21">
        <v>42468</v>
      </c>
      <c r="B383" s="22" t="s">
        <v>12</v>
      </c>
      <c r="C383" s="22" t="s">
        <v>12</v>
      </c>
      <c r="D383" s="22" t="s">
        <v>12</v>
      </c>
      <c r="E383" s="23">
        <f t="shared" si="31"/>
        <v>13.7</v>
      </c>
      <c r="F383" s="23">
        <f t="shared" si="32"/>
        <v>12.1625</v>
      </c>
      <c r="G383" s="23">
        <f t="shared" si="33"/>
        <v>13.7</v>
      </c>
      <c r="H383" s="23">
        <f>+E383/14.6</f>
        <v>0.93835616438356162</v>
      </c>
      <c r="I383" s="24">
        <v>2.54</v>
      </c>
    </row>
    <row r="384" spans="1:9" x14ac:dyDescent="0.2">
      <c r="A384" s="21">
        <v>42475</v>
      </c>
      <c r="B384" s="22" t="s">
        <v>12</v>
      </c>
      <c r="C384" s="22" t="s">
        <v>12</v>
      </c>
      <c r="D384" s="22" t="s">
        <v>12</v>
      </c>
      <c r="E384" s="23">
        <f t="shared" si="31"/>
        <v>13.7</v>
      </c>
      <c r="F384" s="23">
        <f t="shared" si="32"/>
        <v>12.1625</v>
      </c>
      <c r="G384" s="23">
        <f t="shared" si="33"/>
        <v>13.7</v>
      </c>
      <c r="H384" s="23">
        <f>+E384/14.4</f>
        <v>0.95138888888888884</v>
      </c>
      <c r="I384" s="24">
        <v>2.5499999999999998</v>
      </c>
    </row>
    <row r="385" spans="1:9" x14ac:dyDescent="0.2">
      <c r="A385" s="21">
        <v>42482</v>
      </c>
      <c r="B385" s="22" t="s">
        <v>12</v>
      </c>
      <c r="C385" s="22" t="s">
        <v>12</v>
      </c>
      <c r="D385" s="22" t="s">
        <v>12</v>
      </c>
      <c r="E385" s="23">
        <f>+(13.9+13.3)/2</f>
        <v>13.600000000000001</v>
      </c>
      <c r="F385" s="23">
        <f>+(12.7+11.81+12.3+11.44)/4</f>
        <v>12.0625</v>
      </c>
      <c r="G385" s="23">
        <f>+(13.9+13.3)/2</f>
        <v>13.600000000000001</v>
      </c>
      <c r="H385" s="23">
        <f>+E385/14.3</f>
        <v>0.95104895104895115</v>
      </c>
      <c r="I385" s="24">
        <v>2.4700000000000002</v>
      </c>
    </row>
    <row r="386" spans="1:9" x14ac:dyDescent="0.2">
      <c r="A386" s="21">
        <v>42489</v>
      </c>
      <c r="B386" s="22" t="s">
        <v>12</v>
      </c>
      <c r="C386" s="22" t="s">
        <v>12</v>
      </c>
      <c r="D386" s="22" t="s">
        <v>12</v>
      </c>
      <c r="E386" s="23">
        <f>+(13.9+13.3)/2</f>
        <v>13.600000000000001</v>
      </c>
      <c r="F386" s="23">
        <f>+(12.7+11.81+12.3+11.44)/4</f>
        <v>12.0625</v>
      </c>
      <c r="G386" s="23">
        <f>+(13.9+13.3)/2</f>
        <v>13.600000000000001</v>
      </c>
      <c r="H386" s="23">
        <f>+E386/14.3</f>
        <v>0.95104895104895115</v>
      </c>
      <c r="I386" s="24">
        <v>2.4300000000000002</v>
      </c>
    </row>
    <row r="387" spans="1:9" x14ac:dyDescent="0.2">
      <c r="A387" s="21">
        <v>42496</v>
      </c>
      <c r="B387" s="22" t="s">
        <v>12</v>
      </c>
      <c r="C387" s="22" t="s">
        <v>12</v>
      </c>
      <c r="D387" s="22" t="s">
        <v>12</v>
      </c>
      <c r="E387" s="23">
        <f>+(13.9+13.3)/2</f>
        <v>13.600000000000001</v>
      </c>
      <c r="F387" s="23">
        <f>+(12.7+11.81+12.3+11.44)/4</f>
        <v>12.0625</v>
      </c>
      <c r="G387" s="23">
        <f>+(13.9+13.3)/2</f>
        <v>13.600000000000001</v>
      </c>
      <c r="H387" s="23">
        <f>+E387/14.2</f>
        <v>0.9577464788732396</v>
      </c>
      <c r="I387" s="24">
        <v>2.48</v>
      </c>
    </row>
    <row r="388" spans="1:9" x14ac:dyDescent="0.2">
      <c r="A388" s="21">
        <v>42503</v>
      </c>
      <c r="B388" s="22" t="s">
        <v>12</v>
      </c>
      <c r="C388" s="22" t="s">
        <v>12</v>
      </c>
      <c r="D388" s="22" t="s">
        <v>12</v>
      </c>
      <c r="E388" s="23">
        <f>+(13.9+13.3)/2</f>
        <v>13.600000000000001</v>
      </c>
      <c r="F388" s="23">
        <f>+(12.7+11.81+12.3+11.44)/4</f>
        <v>12.0625</v>
      </c>
      <c r="G388" s="23">
        <f>+(13.9+13.3)/2</f>
        <v>13.600000000000001</v>
      </c>
      <c r="H388" s="23">
        <f>+E388/14.16</f>
        <v>0.96045197740113009</v>
      </c>
      <c r="I388" s="24">
        <v>2.48</v>
      </c>
    </row>
    <row r="389" spans="1:9" x14ac:dyDescent="0.2">
      <c r="A389" s="21">
        <v>42510</v>
      </c>
      <c r="B389" s="22" t="s">
        <v>12</v>
      </c>
      <c r="C389" s="22" t="s">
        <v>12</v>
      </c>
      <c r="D389" s="22" t="s">
        <v>12</v>
      </c>
      <c r="E389" s="23">
        <f>+(13.9+13.3)/2</f>
        <v>13.600000000000001</v>
      </c>
      <c r="F389" s="23">
        <f>+(12.7+11.81+12.3+11.44)/4</f>
        <v>12.0625</v>
      </c>
      <c r="G389" s="23">
        <f>+(13.9+13.3)/2</f>
        <v>13.600000000000001</v>
      </c>
      <c r="H389" s="23">
        <f>+E389/14.09</f>
        <v>0.96522356281050403</v>
      </c>
      <c r="I389" s="24">
        <v>2.48</v>
      </c>
    </row>
    <row r="390" spans="1:9" x14ac:dyDescent="0.2">
      <c r="A390" s="21">
        <v>42517</v>
      </c>
      <c r="B390" s="22" t="s">
        <v>12</v>
      </c>
      <c r="C390" s="22" t="s">
        <v>12</v>
      </c>
      <c r="D390" s="22" t="s">
        <v>12</v>
      </c>
      <c r="E390" s="23">
        <f t="shared" ref="E390:E395" si="34">+(13.7+13.1)/2</f>
        <v>13.399999999999999</v>
      </c>
      <c r="F390" s="23">
        <f t="shared" ref="F390:F395" si="35">+(12.5+11.62+12.1+11.25)/4</f>
        <v>11.8675</v>
      </c>
      <c r="G390" s="23">
        <f t="shared" ref="G390:G395" si="36">+(13.7+13.1)/2</f>
        <v>13.399999999999999</v>
      </c>
      <c r="H390" s="23">
        <f>+E390/14</f>
        <v>0.95714285714285707</v>
      </c>
      <c r="I390" s="24">
        <v>2.5099999999999998</v>
      </c>
    </row>
    <row r="391" spans="1:9" x14ac:dyDescent="0.2">
      <c r="A391" s="21">
        <v>42524</v>
      </c>
      <c r="B391" s="22" t="s">
        <v>12</v>
      </c>
      <c r="C391" s="22" t="s">
        <v>12</v>
      </c>
      <c r="D391" s="22" t="s">
        <v>12</v>
      </c>
      <c r="E391" s="23">
        <f t="shared" si="34"/>
        <v>13.399999999999999</v>
      </c>
      <c r="F391" s="23">
        <f t="shared" si="35"/>
        <v>11.8675</v>
      </c>
      <c r="G391" s="23">
        <f t="shared" si="36"/>
        <v>13.399999999999999</v>
      </c>
      <c r="H391" s="23">
        <f>+E391/13.8</f>
        <v>0.97101449275362306</v>
      </c>
      <c r="I391" s="24">
        <v>2.48</v>
      </c>
    </row>
    <row r="392" spans="1:9" x14ac:dyDescent="0.2">
      <c r="A392" s="21">
        <v>42531</v>
      </c>
      <c r="B392" s="22" t="s">
        <v>12</v>
      </c>
      <c r="C392" s="22" t="s">
        <v>12</v>
      </c>
      <c r="D392" s="22" t="s">
        <v>12</v>
      </c>
      <c r="E392" s="23">
        <f t="shared" si="34"/>
        <v>13.399999999999999</v>
      </c>
      <c r="F392" s="23">
        <f t="shared" si="35"/>
        <v>11.8675</v>
      </c>
      <c r="G392" s="23">
        <f t="shared" si="36"/>
        <v>13.399999999999999</v>
      </c>
      <c r="H392" s="23">
        <f>+E392/13.85</f>
        <v>0.96750902527075799</v>
      </c>
      <c r="I392" s="22" t="s">
        <v>12</v>
      </c>
    </row>
    <row r="393" spans="1:9" x14ac:dyDescent="0.2">
      <c r="A393" s="21">
        <v>42537</v>
      </c>
      <c r="B393" s="22" t="s">
        <v>12</v>
      </c>
      <c r="C393" s="22" t="s">
        <v>12</v>
      </c>
      <c r="D393" s="22" t="s">
        <v>12</v>
      </c>
      <c r="E393" s="23">
        <f t="shared" si="34"/>
        <v>13.399999999999999</v>
      </c>
      <c r="F393" s="23">
        <f t="shared" si="35"/>
        <v>11.8675</v>
      </c>
      <c r="G393" s="23">
        <f t="shared" si="36"/>
        <v>13.399999999999999</v>
      </c>
      <c r="H393" s="23">
        <f>+E393/13.8</f>
        <v>0.97101449275362306</v>
      </c>
      <c r="I393" s="22">
        <v>2.54</v>
      </c>
    </row>
    <row r="394" spans="1:9" x14ac:dyDescent="0.2">
      <c r="A394" s="21">
        <v>42545</v>
      </c>
      <c r="B394" s="22" t="s">
        <v>12</v>
      </c>
      <c r="C394" s="22" t="s">
        <v>12</v>
      </c>
      <c r="D394" s="22" t="s">
        <v>12</v>
      </c>
      <c r="E394" s="23">
        <f t="shared" si="34"/>
        <v>13.399999999999999</v>
      </c>
      <c r="F394" s="23">
        <f t="shared" si="35"/>
        <v>11.8675</v>
      </c>
      <c r="G394" s="23">
        <f t="shared" si="36"/>
        <v>13.399999999999999</v>
      </c>
      <c r="H394" s="23">
        <f>+E394/14.2</f>
        <v>0.94366197183098588</v>
      </c>
      <c r="I394" s="22">
        <v>2.62</v>
      </c>
    </row>
    <row r="395" spans="1:9" x14ac:dyDescent="0.2">
      <c r="A395" s="21">
        <v>42552</v>
      </c>
      <c r="B395" s="22" t="s">
        <v>12</v>
      </c>
      <c r="C395" s="22" t="s">
        <v>12</v>
      </c>
      <c r="D395" s="22" t="s">
        <v>12</v>
      </c>
      <c r="E395" s="23">
        <f t="shared" si="34"/>
        <v>13.399999999999999</v>
      </c>
      <c r="F395" s="23">
        <f t="shared" si="35"/>
        <v>11.8675</v>
      </c>
      <c r="G395" s="23">
        <f t="shared" si="36"/>
        <v>13.399999999999999</v>
      </c>
      <c r="H395" s="23">
        <f>+E395/14.9</f>
        <v>0.89932885906040261</v>
      </c>
      <c r="I395" s="22">
        <v>2.62</v>
      </c>
    </row>
    <row r="396" spans="1:9" x14ac:dyDescent="0.2">
      <c r="A396" s="21">
        <v>42558</v>
      </c>
      <c r="B396" s="22" t="s">
        <v>12</v>
      </c>
      <c r="C396" s="22" t="s">
        <v>12</v>
      </c>
      <c r="D396" s="22" t="s">
        <v>12</v>
      </c>
      <c r="E396" s="23">
        <f>+(13+12.4)/2</f>
        <v>12.7</v>
      </c>
      <c r="F396" s="23">
        <f>+(11.8+10.97+11.4+10.32)/4</f>
        <v>11.1225</v>
      </c>
      <c r="G396" s="23">
        <f>+(13+12.4)/2</f>
        <v>12.7</v>
      </c>
      <c r="H396" s="23">
        <f>+E396/14.65</f>
        <v>0.86689419795221834</v>
      </c>
      <c r="I396" s="22" t="s">
        <v>12</v>
      </c>
    </row>
    <row r="397" spans="1:9" x14ac:dyDescent="0.2">
      <c r="A397" s="21">
        <v>42566</v>
      </c>
      <c r="B397" s="22" t="s">
        <v>12</v>
      </c>
      <c r="C397" s="22" t="s">
        <v>12</v>
      </c>
      <c r="D397" s="22" t="s">
        <v>12</v>
      </c>
      <c r="E397" s="23">
        <f>+(13+12.4)/2</f>
        <v>12.7</v>
      </c>
      <c r="F397" s="23">
        <f>+(11.8+10.97+11.4+10.32)/4</f>
        <v>11.1225</v>
      </c>
      <c r="G397" s="23">
        <f>+(13+12.4)/2</f>
        <v>12.7</v>
      </c>
      <c r="H397" s="23">
        <f>+E397/14.52</f>
        <v>0.87465564738292012</v>
      </c>
      <c r="I397" s="22" t="s">
        <v>12</v>
      </c>
    </row>
    <row r="398" spans="1:9" x14ac:dyDescent="0.2">
      <c r="A398" s="21">
        <v>42573</v>
      </c>
      <c r="B398" s="22" t="s">
        <v>12</v>
      </c>
      <c r="C398" s="22" t="s">
        <v>12</v>
      </c>
      <c r="D398" s="22" t="s">
        <v>12</v>
      </c>
      <c r="E398" s="23">
        <f>+(13+12.4)/2</f>
        <v>12.7</v>
      </c>
      <c r="F398" s="23">
        <f>+(11.8+10.97+11.4+10.32)/4</f>
        <v>11.1225</v>
      </c>
      <c r="G398" s="23">
        <f>+(13+12.4)/2</f>
        <v>12.7</v>
      </c>
      <c r="H398" s="23">
        <f>+E398/15</f>
        <v>0.84666666666666657</v>
      </c>
      <c r="I398" s="22">
        <v>2.58</v>
      </c>
    </row>
    <row r="399" spans="1:9" x14ac:dyDescent="0.2">
      <c r="A399" s="21">
        <v>42580</v>
      </c>
      <c r="B399" s="22" t="s">
        <v>12</v>
      </c>
      <c r="C399" s="22" t="s">
        <v>12</v>
      </c>
      <c r="D399" s="22" t="s">
        <v>12</v>
      </c>
      <c r="E399" s="23">
        <f>+(13+12.4)/2</f>
        <v>12.7</v>
      </c>
      <c r="F399" s="23">
        <f>+(11.8+10.97+11.4+10.32)/4</f>
        <v>11.1225</v>
      </c>
      <c r="G399" s="23">
        <f>+(13+12.4)/2</f>
        <v>12.7</v>
      </c>
      <c r="H399" s="23">
        <f>+E399/14.95</f>
        <v>0.84949832775919731</v>
      </c>
      <c r="I399" s="22">
        <v>2.5499999999999998</v>
      </c>
    </row>
    <row r="400" spans="1:9" x14ac:dyDescent="0.2">
      <c r="A400" s="21">
        <v>42587</v>
      </c>
      <c r="B400" s="22" t="s">
        <v>12</v>
      </c>
      <c r="C400" s="22" t="s">
        <v>12</v>
      </c>
      <c r="D400" s="22" t="s">
        <v>12</v>
      </c>
      <c r="E400" s="23">
        <f>+(13+12.4)/2</f>
        <v>12.7</v>
      </c>
      <c r="F400" s="23">
        <f>+(11.8+10.97+11.4+10.32)/4</f>
        <v>11.1225</v>
      </c>
      <c r="G400" s="23">
        <f>+(13+12.4)/2</f>
        <v>12.7</v>
      </c>
      <c r="H400" s="23">
        <f>+E400/14.82</f>
        <v>0.85695006747638325</v>
      </c>
      <c r="I400" s="22" t="s">
        <v>12</v>
      </c>
    </row>
    <row r="401" spans="1:9" x14ac:dyDescent="0.2">
      <c r="A401" s="21">
        <v>42594</v>
      </c>
      <c r="B401" s="22" t="s">
        <v>12</v>
      </c>
      <c r="C401" s="22" t="s">
        <v>12</v>
      </c>
      <c r="D401" s="22" t="s">
        <v>12</v>
      </c>
      <c r="E401" s="23">
        <f t="shared" ref="E401:E408" si="37">+(12.3+11.7)/2</f>
        <v>12</v>
      </c>
      <c r="F401" s="23">
        <f t="shared" ref="F401:F406" si="38">+(11.1+10.32+10.97+9.95)/4</f>
        <v>10.585000000000001</v>
      </c>
      <c r="G401" s="23">
        <f t="shared" ref="G401:G408" si="39">+(12.3+11.7)/2</f>
        <v>12</v>
      </c>
      <c r="H401" s="23">
        <f>+E401/14.62</f>
        <v>0.82079343365253077</v>
      </c>
      <c r="I401" s="22">
        <v>2.46</v>
      </c>
    </row>
    <row r="402" spans="1:9" x14ac:dyDescent="0.2">
      <c r="A402" s="21">
        <v>42601</v>
      </c>
      <c r="B402" s="22" t="s">
        <v>12</v>
      </c>
      <c r="C402" s="22" t="s">
        <v>12</v>
      </c>
      <c r="D402" s="22" t="s">
        <v>12</v>
      </c>
      <c r="E402" s="23">
        <f t="shared" si="37"/>
        <v>12</v>
      </c>
      <c r="F402" s="23">
        <f t="shared" si="38"/>
        <v>10.585000000000001</v>
      </c>
      <c r="G402" s="23">
        <f t="shared" si="39"/>
        <v>12</v>
      </c>
      <c r="H402" s="23">
        <f>+E402/14.75</f>
        <v>0.81355932203389836</v>
      </c>
      <c r="I402" s="22">
        <v>2.46</v>
      </c>
    </row>
    <row r="403" spans="1:9" x14ac:dyDescent="0.2">
      <c r="A403" s="21">
        <v>42608</v>
      </c>
      <c r="B403" s="22" t="s">
        <v>12</v>
      </c>
      <c r="C403" s="22" t="s">
        <v>12</v>
      </c>
      <c r="D403" s="22" t="s">
        <v>12</v>
      </c>
      <c r="E403" s="23">
        <f t="shared" si="37"/>
        <v>12</v>
      </c>
      <c r="F403" s="23">
        <f t="shared" si="38"/>
        <v>10.585000000000001</v>
      </c>
      <c r="G403" s="23">
        <f t="shared" si="39"/>
        <v>12</v>
      </c>
      <c r="H403" s="23">
        <f>+E403/14.8</f>
        <v>0.81081081081081074</v>
      </c>
      <c r="I403" s="22">
        <v>2.41</v>
      </c>
    </row>
    <row r="404" spans="1:9" x14ac:dyDescent="0.2">
      <c r="A404" s="21">
        <v>42615</v>
      </c>
      <c r="B404" s="22" t="s">
        <v>12</v>
      </c>
      <c r="C404" s="22" t="s">
        <v>12</v>
      </c>
      <c r="D404" s="22" t="s">
        <v>12</v>
      </c>
      <c r="E404" s="23">
        <f t="shared" si="37"/>
        <v>12</v>
      </c>
      <c r="F404" s="23">
        <f t="shared" si="38"/>
        <v>10.585000000000001</v>
      </c>
      <c r="G404" s="23">
        <f t="shared" si="39"/>
        <v>12</v>
      </c>
      <c r="H404" s="23">
        <f>+E404/14.88</f>
        <v>0.80645161290322576</v>
      </c>
      <c r="I404" s="22" t="s">
        <v>12</v>
      </c>
    </row>
    <row r="405" spans="1:9" x14ac:dyDescent="0.2">
      <c r="A405" s="21">
        <v>42622</v>
      </c>
      <c r="B405" s="22" t="s">
        <v>12</v>
      </c>
      <c r="C405" s="22" t="s">
        <v>12</v>
      </c>
      <c r="D405" s="22" t="s">
        <v>12</v>
      </c>
      <c r="E405" s="23">
        <f t="shared" si="37"/>
        <v>12</v>
      </c>
      <c r="F405" s="23">
        <f t="shared" si="38"/>
        <v>10.585000000000001</v>
      </c>
      <c r="G405" s="23">
        <f t="shared" si="39"/>
        <v>12</v>
      </c>
      <c r="H405" s="23">
        <f>+E405/15</f>
        <v>0.8</v>
      </c>
      <c r="I405" s="22" t="s">
        <v>12</v>
      </c>
    </row>
    <row r="406" spans="1:9" x14ac:dyDescent="0.2">
      <c r="A406" s="21">
        <v>42629</v>
      </c>
      <c r="B406" s="22" t="s">
        <v>12</v>
      </c>
      <c r="C406" s="22" t="s">
        <v>12</v>
      </c>
      <c r="D406" s="22" t="s">
        <v>12</v>
      </c>
      <c r="E406" s="23">
        <f t="shared" si="37"/>
        <v>12</v>
      </c>
      <c r="F406" s="23">
        <f t="shared" si="38"/>
        <v>10.585000000000001</v>
      </c>
      <c r="G406" s="23">
        <f t="shared" si="39"/>
        <v>12</v>
      </c>
      <c r="H406" s="23">
        <f>+E406/15.04</f>
        <v>0.79787234042553201</v>
      </c>
      <c r="I406" s="22">
        <v>2.37</v>
      </c>
    </row>
    <row r="407" spans="1:9" x14ac:dyDescent="0.2">
      <c r="A407" s="21">
        <v>42636</v>
      </c>
      <c r="B407" s="22" t="s">
        <v>12</v>
      </c>
      <c r="C407" s="22" t="s">
        <v>12</v>
      </c>
      <c r="D407" s="22" t="s">
        <v>12</v>
      </c>
      <c r="E407" s="23">
        <f t="shared" si="37"/>
        <v>12</v>
      </c>
      <c r="F407" s="23">
        <f>+(10.7+9.95+10.1+9.39)/4</f>
        <v>10.035</v>
      </c>
      <c r="G407" s="23">
        <f t="shared" si="39"/>
        <v>12</v>
      </c>
      <c r="H407" s="23">
        <f>+E407/15.1</f>
        <v>0.79470198675496695</v>
      </c>
      <c r="I407" s="22" t="s">
        <v>12</v>
      </c>
    </row>
    <row r="408" spans="1:9" x14ac:dyDescent="0.2">
      <c r="A408" s="21">
        <v>42643</v>
      </c>
      <c r="B408" s="22" t="s">
        <v>12</v>
      </c>
      <c r="C408" s="22" t="s">
        <v>12</v>
      </c>
      <c r="D408" s="22" t="s">
        <v>12</v>
      </c>
      <c r="E408" s="23">
        <f t="shared" si="37"/>
        <v>12</v>
      </c>
      <c r="F408" s="23">
        <f>+(10.7+9.95+10.1+9.39)/4</f>
        <v>10.035</v>
      </c>
      <c r="G408" s="23">
        <f t="shared" si="39"/>
        <v>12</v>
      </c>
      <c r="H408" s="23">
        <f>+E408/15.34</f>
        <v>0.78226857887874834</v>
      </c>
      <c r="I408" s="22">
        <v>2.4300000000000002</v>
      </c>
    </row>
    <row r="409" spans="1:9" x14ac:dyDescent="0.2">
      <c r="A409" s="21">
        <v>42650</v>
      </c>
      <c r="B409" s="22" t="s">
        <v>12</v>
      </c>
      <c r="C409" s="22" t="s">
        <v>12</v>
      </c>
      <c r="D409" s="22" t="s">
        <v>12</v>
      </c>
      <c r="E409" s="23">
        <f>+(12.2+11.6)/2</f>
        <v>11.899999999999999</v>
      </c>
      <c r="F409" s="23">
        <f>+(10.6+9.86+10+9.3)/4</f>
        <v>9.9400000000000013</v>
      </c>
      <c r="G409" s="23">
        <f>+(12.2+11.6)/2</f>
        <v>11.899999999999999</v>
      </c>
      <c r="H409" s="23">
        <f>+E409/15.14</f>
        <v>0.78599735799207382</v>
      </c>
      <c r="I409" s="22">
        <v>2.4300000000000002</v>
      </c>
    </row>
    <row r="410" spans="1:9" x14ac:dyDescent="0.2">
      <c r="A410" s="21">
        <v>42657</v>
      </c>
      <c r="B410" s="22" t="s">
        <v>12</v>
      </c>
      <c r="C410" s="22" t="s">
        <v>12</v>
      </c>
      <c r="D410" s="22" t="s">
        <v>12</v>
      </c>
      <c r="E410" s="23">
        <f t="shared" ref="E410:E436" si="40">+(12+11.4)/2</f>
        <v>11.7</v>
      </c>
      <c r="F410" s="23">
        <f>+(10.4+9.67+9.8+9.11)/4</f>
        <v>9.745000000000001</v>
      </c>
      <c r="G410" s="23">
        <f t="shared" ref="G410:G436" si="41">+(12+11.4)/2</f>
        <v>11.7</v>
      </c>
      <c r="H410" s="23">
        <f>+E410/15</f>
        <v>0.77999999999999992</v>
      </c>
      <c r="I410" s="22">
        <v>2.57</v>
      </c>
    </row>
    <row r="411" spans="1:9" x14ac:dyDescent="0.2">
      <c r="A411" s="21">
        <v>42664</v>
      </c>
      <c r="B411" s="22" t="s">
        <v>12</v>
      </c>
      <c r="C411" s="22" t="s">
        <v>12</v>
      </c>
      <c r="D411" s="22" t="s">
        <v>12</v>
      </c>
      <c r="E411" s="23">
        <f t="shared" si="40"/>
        <v>11.7</v>
      </c>
      <c r="F411" s="23">
        <f>+(10.4+9.67+9.8+9.11)/4</f>
        <v>9.745000000000001</v>
      </c>
      <c r="G411" s="23">
        <f t="shared" si="41"/>
        <v>11.7</v>
      </c>
      <c r="H411" s="23">
        <f>+E411/15.15</f>
        <v>0.77227722772277219</v>
      </c>
      <c r="I411" s="22" t="s">
        <v>12</v>
      </c>
    </row>
    <row r="412" spans="1:9" x14ac:dyDescent="0.2">
      <c r="A412" s="21">
        <v>42671</v>
      </c>
      <c r="B412" s="22" t="s">
        <v>12</v>
      </c>
      <c r="C412" s="22" t="s">
        <v>12</v>
      </c>
      <c r="D412" s="22" t="s">
        <v>12</v>
      </c>
      <c r="E412" s="23">
        <f t="shared" si="40"/>
        <v>11.7</v>
      </c>
      <c r="F412" s="23">
        <f>+(10.4+9.67+9.8+9.11)/4</f>
        <v>9.745000000000001</v>
      </c>
      <c r="G412" s="23">
        <f t="shared" si="41"/>
        <v>11.7</v>
      </c>
      <c r="H412" s="23">
        <f>+E412/15.16</f>
        <v>0.77176781002638517</v>
      </c>
      <c r="I412" s="22">
        <v>2.58</v>
      </c>
    </row>
    <row r="413" spans="1:9" x14ac:dyDescent="0.2">
      <c r="A413" s="21">
        <v>42678</v>
      </c>
      <c r="B413" s="22" t="s">
        <v>12</v>
      </c>
      <c r="C413" s="22" t="s">
        <v>12</v>
      </c>
      <c r="D413" s="22" t="s">
        <v>12</v>
      </c>
      <c r="E413" s="23">
        <f t="shared" si="40"/>
        <v>11.7</v>
      </c>
      <c r="F413" s="23">
        <f>+(10.4+9.67+9.8+9.11)/4</f>
        <v>9.745000000000001</v>
      </c>
      <c r="G413" s="23">
        <f t="shared" si="41"/>
        <v>11.7</v>
      </c>
      <c r="H413" s="23">
        <f>+E413/15.16</f>
        <v>0.77176781002638517</v>
      </c>
      <c r="I413" s="22">
        <v>2.58</v>
      </c>
    </row>
    <row r="414" spans="1:9" x14ac:dyDescent="0.2">
      <c r="A414" s="21">
        <v>42685</v>
      </c>
      <c r="B414" s="22" t="s">
        <v>12</v>
      </c>
      <c r="C414" s="22" t="s">
        <v>12</v>
      </c>
      <c r="D414" s="22" t="s">
        <v>12</v>
      </c>
      <c r="E414" s="23">
        <f t="shared" si="40"/>
        <v>11.7</v>
      </c>
      <c r="F414" s="23">
        <f>+(10.4+9.67+9.8+9.11)/4</f>
        <v>9.745000000000001</v>
      </c>
      <c r="G414" s="23">
        <f t="shared" si="41"/>
        <v>11.7</v>
      </c>
      <c r="H414" s="23">
        <f>+E414/14.9</f>
        <v>0.78523489932885904</v>
      </c>
      <c r="I414" s="22">
        <v>2.5499999999999998</v>
      </c>
    </row>
    <row r="415" spans="1:9" x14ac:dyDescent="0.2">
      <c r="A415" s="21">
        <v>42692</v>
      </c>
      <c r="B415" s="22" t="s">
        <v>12</v>
      </c>
      <c r="C415" s="22" t="s">
        <v>12</v>
      </c>
      <c r="D415" s="22" t="s">
        <v>12</v>
      </c>
      <c r="E415" s="23">
        <f t="shared" si="40"/>
        <v>11.7</v>
      </c>
      <c r="F415" s="23">
        <f>+(10.2+9.49+9.6+8.93)/4</f>
        <v>9.5549999999999997</v>
      </c>
      <c r="G415" s="23">
        <f t="shared" si="41"/>
        <v>11.7</v>
      </c>
      <c r="H415" s="23">
        <f>+E415/15.5</f>
        <v>0.75483870967741928</v>
      </c>
      <c r="I415" s="22">
        <v>2.5499999999999998</v>
      </c>
    </row>
    <row r="416" spans="1:9" x14ac:dyDescent="0.2">
      <c r="A416" s="21">
        <v>42699</v>
      </c>
      <c r="B416" s="22"/>
      <c r="C416" s="22"/>
      <c r="D416" s="22"/>
      <c r="E416" s="23">
        <f t="shared" si="40"/>
        <v>11.7</v>
      </c>
      <c r="F416" s="23">
        <f t="shared" ref="F416:F436" si="42">+(10.1+9.3+9.4+8.74)/4</f>
        <v>9.3849999999999998</v>
      </c>
      <c r="G416" s="23">
        <f t="shared" si="41"/>
        <v>11.7</v>
      </c>
      <c r="H416" s="23">
        <f>+E416/15.5</f>
        <v>0.75483870967741928</v>
      </c>
      <c r="I416" s="22" t="s">
        <v>248</v>
      </c>
    </row>
    <row r="417" spans="1:9" x14ac:dyDescent="0.2">
      <c r="A417" s="21">
        <v>42706</v>
      </c>
      <c r="E417" s="23">
        <f t="shared" si="40"/>
        <v>11.7</v>
      </c>
      <c r="F417" s="23">
        <f t="shared" si="42"/>
        <v>9.3849999999999998</v>
      </c>
      <c r="G417" s="23">
        <f t="shared" si="41"/>
        <v>11.7</v>
      </c>
      <c r="H417" s="23">
        <f>+E417/15.85</f>
        <v>0.73817034700315454</v>
      </c>
      <c r="I417" s="22" t="s">
        <v>248</v>
      </c>
    </row>
    <row r="418" spans="1:9" x14ac:dyDescent="0.2">
      <c r="A418" s="21">
        <v>42711</v>
      </c>
      <c r="E418" s="23">
        <f t="shared" si="40"/>
        <v>11.7</v>
      </c>
      <c r="F418" s="23">
        <f t="shared" si="42"/>
        <v>9.3849999999999998</v>
      </c>
      <c r="G418" s="23">
        <f t="shared" si="41"/>
        <v>11.7</v>
      </c>
      <c r="H418" s="23">
        <f>+E418/15.85</f>
        <v>0.73817034700315454</v>
      </c>
      <c r="I418" s="22" t="s">
        <v>248</v>
      </c>
    </row>
    <row r="419" spans="1:9" x14ac:dyDescent="0.2">
      <c r="A419" s="21">
        <v>42720</v>
      </c>
      <c r="E419" s="23">
        <f t="shared" si="40"/>
        <v>11.7</v>
      </c>
      <c r="F419" s="23">
        <f t="shared" si="42"/>
        <v>9.3849999999999998</v>
      </c>
      <c r="G419" s="23">
        <f t="shared" si="41"/>
        <v>11.7</v>
      </c>
      <c r="H419" s="23">
        <f>+E419/15.92</f>
        <v>0.73492462311557782</v>
      </c>
      <c r="I419" s="22">
        <v>2.5499999999999998</v>
      </c>
    </row>
    <row r="420" spans="1:9" x14ac:dyDescent="0.2">
      <c r="A420" s="21">
        <v>42727</v>
      </c>
      <c r="E420" s="23">
        <f t="shared" si="40"/>
        <v>11.7</v>
      </c>
      <c r="F420" s="23">
        <f t="shared" si="42"/>
        <v>9.3849999999999998</v>
      </c>
      <c r="G420" s="23">
        <f t="shared" si="41"/>
        <v>11.7</v>
      </c>
      <c r="H420" s="23">
        <f>+E420/15.7</f>
        <v>0.74522292993630568</v>
      </c>
      <c r="I420" s="23">
        <v>2.5</v>
      </c>
    </row>
    <row r="421" spans="1:9" x14ac:dyDescent="0.2">
      <c r="A421" s="21">
        <v>42734</v>
      </c>
      <c r="E421" s="23">
        <f t="shared" si="40"/>
        <v>11.7</v>
      </c>
      <c r="F421" s="23">
        <f t="shared" si="42"/>
        <v>9.3849999999999998</v>
      </c>
      <c r="G421" s="23">
        <f t="shared" si="41"/>
        <v>11.7</v>
      </c>
      <c r="H421" s="23">
        <f>+E421/15.85</f>
        <v>0.73817034700315454</v>
      </c>
      <c r="I421" s="23">
        <v>2.5</v>
      </c>
    </row>
    <row r="422" spans="1:9" ht="17.25" customHeight="1" x14ac:dyDescent="0.2">
      <c r="A422" s="34">
        <v>42741</v>
      </c>
      <c r="B422" s="32"/>
      <c r="C422" s="32"/>
      <c r="D422" s="32"/>
      <c r="E422" s="33">
        <f t="shared" si="40"/>
        <v>11.7</v>
      </c>
      <c r="F422" s="33">
        <f t="shared" si="42"/>
        <v>9.3849999999999998</v>
      </c>
      <c r="G422" s="33">
        <f t="shared" si="41"/>
        <v>11.7</v>
      </c>
      <c r="H422" s="33">
        <f>+E422/16</f>
        <v>0.73124999999999996</v>
      </c>
      <c r="I422" s="33">
        <v>2.5</v>
      </c>
    </row>
    <row r="423" spans="1:9" x14ac:dyDescent="0.2">
      <c r="A423" s="34">
        <v>42748</v>
      </c>
      <c r="E423" s="33">
        <f t="shared" si="40"/>
        <v>11.7</v>
      </c>
      <c r="F423" s="33">
        <f t="shared" si="42"/>
        <v>9.3849999999999998</v>
      </c>
      <c r="G423" s="33">
        <f t="shared" si="41"/>
        <v>11.7</v>
      </c>
      <c r="H423" s="33">
        <f>+E423/15.8</f>
        <v>0.740506329113924</v>
      </c>
      <c r="I423" s="32" t="s">
        <v>249</v>
      </c>
    </row>
    <row r="424" spans="1:9" x14ac:dyDescent="0.2">
      <c r="A424" s="34">
        <v>42755</v>
      </c>
      <c r="E424" s="33">
        <f t="shared" si="40"/>
        <v>11.7</v>
      </c>
      <c r="F424" s="33">
        <f t="shared" si="42"/>
        <v>9.3849999999999998</v>
      </c>
      <c r="G424" s="33">
        <f t="shared" si="41"/>
        <v>11.7</v>
      </c>
      <c r="H424" s="33">
        <f>+E424/15.93</f>
        <v>0.7344632768361582</v>
      </c>
      <c r="I424" s="32" t="s">
        <v>249</v>
      </c>
    </row>
    <row r="425" spans="1:9" x14ac:dyDescent="0.2">
      <c r="A425" s="34">
        <v>42762</v>
      </c>
      <c r="E425" s="33">
        <f t="shared" si="40"/>
        <v>11.7</v>
      </c>
      <c r="F425" s="33">
        <f t="shared" si="42"/>
        <v>9.3849999999999998</v>
      </c>
      <c r="G425" s="33">
        <f t="shared" si="41"/>
        <v>11.7</v>
      </c>
      <c r="H425" s="33">
        <f>+E425/15.9</f>
        <v>0.73584905660377353</v>
      </c>
      <c r="I425" s="32">
        <v>2.4700000000000002</v>
      </c>
    </row>
    <row r="426" spans="1:9" x14ac:dyDescent="0.2">
      <c r="A426" s="34">
        <v>42769</v>
      </c>
      <c r="E426" s="33">
        <f t="shared" si="40"/>
        <v>11.7</v>
      </c>
      <c r="F426" s="33">
        <f t="shared" si="42"/>
        <v>9.3849999999999998</v>
      </c>
      <c r="G426" s="33">
        <f t="shared" si="41"/>
        <v>11.7</v>
      </c>
      <c r="H426" s="33">
        <f>+E426/15.8</f>
        <v>0.740506329113924</v>
      </c>
      <c r="I426" s="33">
        <v>2.57</v>
      </c>
    </row>
    <row r="427" spans="1:9" x14ac:dyDescent="0.2">
      <c r="A427" s="34">
        <v>42776</v>
      </c>
      <c r="E427" s="33">
        <f t="shared" si="40"/>
        <v>11.7</v>
      </c>
      <c r="F427" s="33">
        <f t="shared" si="42"/>
        <v>9.3849999999999998</v>
      </c>
      <c r="G427" s="33">
        <f t="shared" si="41"/>
        <v>11.7</v>
      </c>
      <c r="H427" s="33">
        <f>+E427/15.65</f>
        <v>0.74760383386581464</v>
      </c>
      <c r="I427" s="33">
        <v>2.52</v>
      </c>
    </row>
    <row r="428" spans="1:9" x14ac:dyDescent="0.2">
      <c r="A428" s="34">
        <v>42783</v>
      </c>
      <c r="E428" s="33">
        <f t="shared" si="40"/>
        <v>11.7</v>
      </c>
      <c r="F428" s="33">
        <f t="shared" si="42"/>
        <v>9.3849999999999998</v>
      </c>
      <c r="G428" s="33">
        <f t="shared" si="41"/>
        <v>11.7</v>
      </c>
      <c r="H428" s="33">
        <f>+E428/15.4</f>
        <v>0.75974025974025972</v>
      </c>
      <c r="I428" s="32" t="s">
        <v>249</v>
      </c>
    </row>
    <row r="429" spans="1:9" x14ac:dyDescent="0.2">
      <c r="A429" s="34">
        <v>42790</v>
      </c>
      <c r="E429" s="33">
        <f t="shared" si="40"/>
        <v>11.7</v>
      </c>
      <c r="F429" s="33">
        <f t="shared" si="42"/>
        <v>9.3849999999999998</v>
      </c>
      <c r="G429" s="33">
        <f t="shared" si="41"/>
        <v>11.7</v>
      </c>
      <c r="H429" s="33">
        <f>+E429/15.6</f>
        <v>0.75</v>
      </c>
      <c r="I429" s="33">
        <v>2.6</v>
      </c>
    </row>
    <row r="430" spans="1:9" x14ac:dyDescent="0.2">
      <c r="A430" s="34">
        <v>42797</v>
      </c>
      <c r="E430" s="33">
        <f t="shared" si="40"/>
        <v>11.7</v>
      </c>
      <c r="F430" s="33">
        <f t="shared" si="42"/>
        <v>9.3849999999999998</v>
      </c>
      <c r="G430" s="33">
        <f t="shared" si="41"/>
        <v>11.7</v>
      </c>
      <c r="H430" s="33">
        <f>+E430/15.4</f>
        <v>0.75974025974025972</v>
      </c>
      <c r="I430" s="33">
        <v>2.62</v>
      </c>
    </row>
    <row r="431" spans="1:9" x14ac:dyDescent="0.2">
      <c r="A431" s="34">
        <v>42804</v>
      </c>
      <c r="E431" s="33">
        <f t="shared" si="40"/>
        <v>11.7</v>
      </c>
      <c r="F431" s="33">
        <f t="shared" si="42"/>
        <v>9.3849999999999998</v>
      </c>
      <c r="G431" s="33">
        <f t="shared" si="41"/>
        <v>11.7</v>
      </c>
      <c r="H431" s="33">
        <f>+E431/15.6</f>
        <v>0.75</v>
      </c>
      <c r="I431" s="33">
        <v>2.59</v>
      </c>
    </row>
    <row r="432" spans="1:9" x14ac:dyDescent="0.2">
      <c r="A432" s="34">
        <v>42811</v>
      </c>
      <c r="B432" s="1"/>
      <c r="C432" s="1"/>
      <c r="D432" s="1"/>
      <c r="E432" s="33">
        <f t="shared" si="40"/>
        <v>11.7</v>
      </c>
      <c r="F432" s="33">
        <f t="shared" si="42"/>
        <v>9.3849999999999998</v>
      </c>
      <c r="G432" s="33">
        <f t="shared" si="41"/>
        <v>11.7</v>
      </c>
      <c r="H432" s="33">
        <f>+E432/15.6</f>
        <v>0.75</v>
      </c>
      <c r="I432" s="33">
        <v>2.54</v>
      </c>
    </row>
    <row r="433" spans="1:9" x14ac:dyDescent="0.2">
      <c r="A433" s="34">
        <v>42817</v>
      </c>
      <c r="E433" s="33">
        <f t="shared" si="40"/>
        <v>11.7</v>
      </c>
      <c r="F433" s="33">
        <f t="shared" si="42"/>
        <v>9.3849999999999998</v>
      </c>
      <c r="G433" s="33">
        <f t="shared" si="41"/>
        <v>11.7</v>
      </c>
      <c r="H433" s="33">
        <f>+E433/15.6</f>
        <v>0.75</v>
      </c>
      <c r="I433" s="33">
        <v>2.5499999999999998</v>
      </c>
    </row>
    <row r="434" spans="1:9" x14ac:dyDescent="0.2">
      <c r="A434" s="34">
        <v>42825</v>
      </c>
      <c r="E434" s="33">
        <f t="shared" si="40"/>
        <v>11.7</v>
      </c>
      <c r="F434" s="33">
        <f t="shared" si="42"/>
        <v>9.3849999999999998</v>
      </c>
      <c r="G434" s="33">
        <f t="shared" si="41"/>
        <v>11.7</v>
      </c>
      <c r="H434" s="33">
        <f>+E434/15.4</f>
        <v>0.75974025974025972</v>
      </c>
      <c r="I434" s="33">
        <v>2.54</v>
      </c>
    </row>
    <row r="435" spans="1:9" x14ac:dyDescent="0.2">
      <c r="A435" s="34">
        <v>42832</v>
      </c>
      <c r="E435" s="33">
        <f t="shared" si="40"/>
        <v>11.7</v>
      </c>
      <c r="F435" s="33">
        <f t="shared" si="42"/>
        <v>9.3849999999999998</v>
      </c>
      <c r="G435" s="33">
        <f t="shared" si="41"/>
        <v>11.7</v>
      </c>
      <c r="H435" s="33">
        <f>+E435/15.4</f>
        <v>0.75974025974025972</v>
      </c>
      <c r="I435" s="33">
        <v>2.54</v>
      </c>
    </row>
    <row r="436" spans="1:9" x14ac:dyDescent="0.2">
      <c r="A436" s="34">
        <v>42837</v>
      </c>
      <c r="E436" s="33">
        <f t="shared" si="40"/>
        <v>11.7</v>
      </c>
      <c r="F436" s="33">
        <f t="shared" si="42"/>
        <v>9.3849999999999998</v>
      </c>
      <c r="G436" s="33">
        <f t="shared" si="41"/>
        <v>11.7</v>
      </c>
      <c r="H436" s="33">
        <f>+E436/15.2</f>
        <v>0.76973684210526316</v>
      </c>
      <c r="I436" s="33">
        <v>2.46</v>
      </c>
    </row>
    <row r="437" spans="1:9" x14ac:dyDescent="0.2">
      <c r="A437" s="34">
        <v>42846</v>
      </c>
      <c r="E437" s="33">
        <f>+(10.5+9.9)/2</f>
        <v>10.199999999999999</v>
      </c>
      <c r="F437" s="33">
        <f>+(8.5+7.9+7.9+7.34)/4</f>
        <v>7.9099999999999993</v>
      </c>
      <c r="G437" s="33">
        <f>+(10.5+9.9)/2</f>
        <v>10.199999999999999</v>
      </c>
      <c r="H437" s="33">
        <f>+E437/15.4</f>
        <v>0.66233766233766223</v>
      </c>
      <c r="I437" s="32" t="s">
        <v>249</v>
      </c>
    </row>
    <row r="438" spans="1:9" x14ac:dyDescent="0.2">
      <c r="A438" s="34">
        <v>42853</v>
      </c>
      <c r="E438" s="33">
        <f>+(10.5+9.9)/2</f>
        <v>10.199999999999999</v>
      </c>
      <c r="F438" s="33">
        <f>+(8.5+7.9+7.9+7.34)/4</f>
        <v>7.9099999999999993</v>
      </c>
      <c r="G438" s="33">
        <f>+(10.5+9.9)/2</f>
        <v>10.199999999999999</v>
      </c>
      <c r="H438" s="33">
        <f>+E438/15.45</f>
        <v>0.66019417475728148</v>
      </c>
      <c r="I438" s="33">
        <v>2.41</v>
      </c>
    </row>
    <row r="439" spans="1:9" x14ac:dyDescent="0.2">
      <c r="A439" s="34">
        <v>42860</v>
      </c>
      <c r="E439" s="33">
        <f>+(10.5+9.9)/2</f>
        <v>10.199999999999999</v>
      </c>
      <c r="F439" s="33">
        <f>+(8.5+7.9+7.9+7.34)/4</f>
        <v>7.9099999999999993</v>
      </c>
      <c r="G439" s="33">
        <f>+(10.5+9.9)/2</f>
        <v>10.199999999999999</v>
      </c>
      <c r="H439" s="33">
        <f>+E439/15.25</f>
        <v>0.66885245901639334</v>
      </c>
      <c r="I439" s="33">
        <v>2.41</v>
      </c>
    </row>
    <row r="440" spans="1:9" x14ac:dyDescent="0.2">
      <c r="A440" s="34">
        <v>42867</v>
      </c>
      <c r="E440" s="33">
        <f t="shared" ref="E440:E450" si="43">+(10+9.4)/2</f>
        <v>9.6999999999999993</v>
      </c>
      <c r="F440" s="33">
        <f t="shared" ref="F440:F450" si="44">+(8+7.44+7.4+6.88)/4</f>
        <v>7.4300000000000006</v>
      </c>
      <c r="G440" s="33">
        <f t="shared" ref="G440:G450" si="45">+(10+9.4)/2</f>
        <v>9.6999999999999993</v>
      </c>
      <c r="H440" s="33">
        <f>+E440/15.44</f>
        <v>0.62823834196891193</v>
      </c>
      <c r="I440" s="33">
        <v>2.41</v>
      </c>
    </row>
    <row r="441" spans="1:9" x14ac:dyDescent="0.2">
      <c r="A441" s="34">
        <v>42873</v>
      </c>
      <c r="E441" s="33">
        <f t="shared" si="43"/>
        <v>9.6999999999999993</v>
      </c>
      <c r="F441" s="33">
        <f t="shared" si="44"/>
        <v>7.4300000000000006</v>
      </c>
      <c r="G441" s="33">
        <f t="shared" si="45"/>
        <v>9.6999999999999993</v>
      </c>
      <c r="H441" s="33">
        <f>+E441/15.6</f>
        <v>0.62179487179487181</v>
      </c>
      <c r="I441" s="33">
        <v>2.3199999999999998</v>
      </c>
    </row>
    <row r="442" spans="1:9" x14ac:dyDescent="0.2">
      <c r="A442" s="34">
        <v>42881</v>
      </c>
      <c r="E442" s="33">
        <f t="shared" si="43"/>
        <v>9.6999999999999993</v>
      </c>
      <c r="F442" s="33">
        <f t="shared" si="44"/>
        <v>7.4300000000000006</v>
      </c>
      <c r="G442" s="33">
        <f t="shared" si="45"/>
        <v>9.6999999999999993</v>
      </c>
      <c r="H442" s="33">
        <f>+E442/16</f>
        <v>0.60624999999999996</v>
      </c>
      <c r="I442" s="33">
        <v>2.3199999999999998</v>
      </c>
    </row>
    <row r="443" spans="1:9" x14ac:dyDescent="0.2">
      <c r="A443" s="34">
        <v>42888</v>
      </c>
      <c r="E443" s="33">
        <f t="shared" si="43"/>
        <v>9.6999999999999993</v>
      </c>
      <c r="F443" s="33">
        <f t="shared" si="44"/>
        <v>7.4300000000000006</v>
      </c>
      <c r="G443" s="33">
        <f t="shared" si="45"/>
        <v>9.6999999999999993</v>
      </c>
      <c r="H443" s="33">
        <f>+E443/16.05</f>
        <v>0.60436137071651086</v>
      </c>
      <c r="I443" s="33">
        <v>2.31</v>
      </c>
    </row>
    <row r="444" spans="1:9" x14ac:dyDescent="0.2">
      <c r="A444" s="34">
        <v>42895</v>
      </c>
      <c r="E444" s="33">
        <f t="shared" si="43"/>
        <v>9.6999999999999993</v>
      </c>
      <c r="F444" s="33">
        <f t="shared" si="44"/>
        <v>7.4300000000000006</v>
      </c>
      <c r="G444" s="33">
        <f t="shared" si="45"/>
        <v>9.6999999999999993</v>
      </c>
      <c r="H444" s="33">
        <f>+E444/15.95</f>
        <v>0.60815047021943569</v>
      </c>
      <c r="I444" s="33">
        <v>2.2999999999999998</v>
      </c>
    </row>
    <row r="445" spans="1:9" x14ac:dyDescent="0.2">
      <c r="A445" s="34">
        <v>42902</v>
      </c>
      <c r="E445" s="33">
        <f t="shared" si="43"/>
        <v>9.6999999999999993</v>
      </c>
      <c r="F445" s="33">
        <f t="shared" si="44"/>
        <v>7.4300000000000006</v>
      </c>
      <c r="G445" s="33">
        <f t="shared" si="45"/>
        <v>9.6999999999999993</v>
      </c>
      <c r="H445" s="33">
        <f>+E445/15.99</f>
        <v>0.606629143214509</v>
      </c>
      <c r="I445" s="33">
        <v>2.31</v>
      </c>
    </row>
    <row r="446" spans="1:9" x14ac:dyDescent="0.2">
      <c r="A446" s="34">
        <v>42909</v>
      </c>
      <c r="E446" s="33">
        <f t="shared" si="43"/>
        <v>9.6999999999999993</v>
      </c>
      <c r="F446" s="33">
        <f t="shared" si="44"/>
        <v>7.4300000000000006</v>
      </c>
      <c r="G446" s="33">
        <f t="shared" si="45"/>
        <v>9.6999999999999993</v>
      </c>
      <c r="H446" s="33">
        <f>+E446/16.2</f>
        <v>0.59876543209876543</v>
      </c>
      <c r="I446" s="32" t="s">
        <v>249</v>
      </c>
    </row>
    <row r="447" spans="1:9" x14ac:dyDescent="0.2">
      <c r="A447" s="34">
        <v>42916</v>
      </c>
      <c r="E447" s="33">
        <f t="shared" si="43"/>
        <v>9.6999999999999993</v>
      </c>
      <c r="F447" s="33">
        <f t="shared" si="44"/>
        <v>7.4300000000000006</v>
      </c>
      <c r="G447" s="33">
        <f t="shared" si="45"/>
        <v>9.6999999999999993</v>
      </c>
      <c r="H447" s="33">
        <f>+E447/16.4</f>
        <v>0.59146341463414631</v>
      </c>
      <c r="I447" s="33">
        <v>2.2999999999999998</v>
      </c>
    </row>
    <row r="448" spans="1:9" x14ac:dyDescent="0.2">
      <c r="A448" s="34">
        <v>42923</v>
      </c>
      <c r="E448" s="33">
        <f t="shared" si="43"/>
        <v>9.6999999999999993</v>
      </c>
      <c r="F448" s="33">
        <f t="shared" si="44"/>
        <v>7.4300000000000006</v>
      </c>
      <c r="G448" s="33">
        <f t="shared" si="45"/>
        <v>9.6999999999999993</v>
      </c>
      <c r="H448" s="33">
        <f>+E448/17</f>
        <v>0.57058823529411762</v>
      </c>
      <c r="I448" s="33">
        <v>2.27</v>
      </c>
    </row>
    <row r="449" spans="1:9" x14ac:dyDescent="0.2">
      <c r="A449" s="34">
        <v>42930</v>
      </c>
      <c r="E449" s="33">
        <f t="shared" si="43"/>
        <v>9.6999999999999993</v>
      </c>
      <c r="F449" s="33">
        <f t="shared" si="44"/>
        <v>7.4300000000000006</v>
      </c>
      <c r="G449" s="33">
        <f t="shared" si="45"/>
        <v>9.6999999999999993</v>
      </c>
      <c r="H449" s="33">
        <f>+E449/16.99</f>
        <v>0.5709240729841083</v>
      </c>
      <c r="I449" s="33">
        <v>2.27</v>
      </c>
    </row>
    <row r="450" spans="1:9" x14ac:dyDescent="0.2">
      <c r="A450" s="34">
        <v>42937</v>
      </c>
      <c r="E450" s="33">
        <f t="shared" si="43"/>
        <v>9.6999999999999993</v>
      </c>
      <c r="F450" s="33">
        <f t="shared" si="44"/>
        <v>7.4300000000000006</v>
      </c>
      <c r="G450" s="33">
        <f t="shared" si="45"/>
        <v>9.6999999999999993</v>
      </c>
      <c r="H450" s="33">
        <f>+E450/17.1</f>
        <v>0.56725146198830401</v>
      </c>
      <c r="I450" s="33">
        <v>2.16</v>
      </c>
    </row>
    <row r="451" spans="1:9" x14ac:dyDescent="0.2">
      <c r="A451" s="34">
        <v>42944</v>
      </c>
      <c r="E451" s="33">
        <f t="shared" ref="E451:E491" si="46">+(10+9.4)/2</f>
        <v>9.6999999999999993</v>
      </c>
      <c r="F451" s="33">
        <f t="shared" ref="F451:F470" si="47">+(8+7.44+7.4+6.88)/4</f>
        <v>7.4300000000000006</v>
      </c>
      <c r="G451" s="33">
        <f t="shared" ref="G451:G491" si="48">+(10+9.4)/2</f>
        <v>9.6999999999999993</v>
      </c>
      <c r="H451" s="33">
        <f>+E451/17.5</f>
        <v>0.55428571428571427</v>
      </c>
      <c r="I451" s="33">
        <v>2.16</v>
      </c>
    </row>
    <row r="452" spans="1:9" x14ac:dyDescent="0.2">
      <c r="A452" s="34">
        <v>42951</v>
      </c>
      <c r="E452" s="33">
        <f t="shared" si="46"/>
        <v>9.6999999999999993</v>
      </c>
      <c r="F452" s="33">
        <f t="shared" si="47"/>
        <v>7.4300000000000006</v>
      </c>
      <c r="G452" s="33">
        <f t="shared" si="48"/>
        <v>9.6999999999999993</v>
      </c>
      <c r="H452" s="33">
        <f>+E452/17.65</f>
        <v>0.54957507082152979</v>
      </c>
      <c r="I452" s="33">
        <v>2.04</v>
      </c>
    </row>
    <row r="453" spans="1:9" x14ac:dyDescent="0.2">
      <c r="A453" s="34">
        <v>42958</v>
      </c>
      <c r="E453" s="33">
        <f t="shared" si="46"/>
        <v>9.6999999999999993</v>
      </c>
      <c r="F453" s="33">
        <f t="shared" si="47"/>
        <v>7.4300000000000006</v>
      </c>
      <c r="G453" s="33">
        <f t="shared" si="48"/>
        <v>9.6999999999999993</v>
      </c>
      <c r="H453" s="33">
        <f>+E453/17.65</f>
        <v>0.54957507082152979</v>
      </c>
      <c r="I453" s="33">
        <v>2.02</v>
      </c>
    </row>
    <row r="454" spans="1:9" x14ac:dyDescent="0.2">
      <c r="A454" s="34">
        <v>42965</v>
      </c>
      <c r="E454" s="33">
        <f t="shared" si="46"/>
        <v>9.6999999999999993</v>
      </c>
      <c r="F454" s="33">
        <f t="shared" si="47"/>
        <v>7.4300000000000006</v>
      </c>
      <c r="G454" s="33">
        <f t="shared" si="48"/>
        <v>9.6999999999999993</v>
      </c>
      <c r="H454" s="33">
        <f>+E454/17.2</f>
        <v>0.56395348837209303</v>
      </c>
      <c r="I454" s="33">
        <v>2.06</v>
      </c>
    </row>
    <row r="455" spans="1:9" x14ac:dyDescent="0.2">
      <c r="A455" s="34">
        <v>42972</v>
      </c>
      <c r="E455" s="33">
        <f t="shared" si="46"/>
        <v>9.6999999999999993</v>
      </c>
      <c r="F455" s="33">
        <f t="shared" si="47"/>
        <v>7.4300000000000006</v>
      </c>
      <c r="G455" s="33">
        <f t="shared" si="48"/>
        <v>9.6999999999999993</v>
      </c>
      <c r="H455" s="33">
        <f>+E455/17.2</f>
        <v>0.56395348837209303</v>
      </c>
      <c r="I455" s="33">
        <v>1.95</v>
      </c>
    </row>
    <row r="456" spans="1:9" x14ac:dyDescent="0.2">
      <c r="A456" s="34">
        <v>42979</v>
      </c>
      <c r="E456" s="33">
        <f t="shared" si="46"/>
        <v>9.6999999999999993</v>
      </c>
      <c r="F456" s="33">
        <f t="shared" si="47"/>
        <v>7.4300000000000006</v>
      </c>
      <c r="G456" s="33">
        <f t="shared" si="48"/>
        <v>9.6999999999999993</v>
      </c>
      <c r="H456" s="33">
        <f>+E456/17.35</f>
        <v>0.55907780979827082</v>
      </c>
      <c r="I456" s="32" t="s">
        <v>249</v>
      </c>
    </row>
    <row r="457" spans="1:9" x14ac:dyDescent="0.2">
      <c r="A457" s="34">
        <v>42986</v>
      </c>
      <c r="E457" s="33">
        <f t="shared" si="46"/>
        <v>9.6999999999999993</v>
      </c>
      <c r="F457" s="33">
        <f t="shared" si="47"/>
        <v>7.4300000000000006</v>
      </c>
      <c r="G457" s="33">
        <f t="shared" si="48"/>
        <v>9.6999999999999993</v>
      </c>
      <c r="H457" s="33">
        <f>+E457/17.2</f>
        <v>0.56395348837209303</v>
      </c>
      <c r="I457" s="32" t="s">
        <v>249</v>
      </c>
    </row>
    <row r="458" spans="1:9" x14ac:dyDescent="0.2">
      <c r="A458" s="34">
        <v>42993</v>
      </c>
      <c r="E458" s="33">
        <f t="shared" si="46"/>
        <v>9.6999999999999993</v>
      </c>
      <c r="F458" s="33">
        <f t="shared" si="47"/>
        <v>7.4300000000000006</v>
      </c>
      <c r="G458" s="33">
        <f t="shared" si="48"/>
        <v>9.6999999999999993</v>
      </c>
      <c r="H458" s="33">
        <f>+E458/17</f>
        <v>0.57058823529411762</v>
      </c>
      <c r="I458" s="33">
        <v>1.94</v>
      </c>
    </row>
    <row r="459" spans="1:9" x14ac:dyDescent="0.2">
      <c r="A459" s="34">
        <v>43000</v>
      </c>
      <c r="E459" s="33">
        <f t="shared" si="46"/>
        <v>9.6999999999999993</v>
      </c>
      <c r="F459" s="33">
        <f t="shared" si="47"/>
        <v>7.4300000000000006</v>
      </c>
      <c r="G459" s="33">
        <f t="shared" si="48"/>
        <v>9.6999999999999993</v>
      </c>
      <c r="H459" s="33">
        <f>+E459/17.3</f>
        <v>0.560693641618497</v>
      </c>
      <c r="I459" s="33">
        <v>1.96</v>
      </c>
    </row>
    <row r="460" spans="1:9" x14ac:dyDescent="0.2">
      <c r="A460" s="34">
        <v>43007</v>
      </c>
      <c r="E460" s="33">
        <f t="shared" si="46"/>
        <v>9.6999999999999993</v>
      </c>
      <c r="F460" s="33">
        <f t="shared" si="47"/>
        <v>7.4300000000000006</v>
      </c>
      <c r="G460" s="33">
        <f t="shared" si="48"/>
        <v>9.6999999999999993</v>
      </c>
      <c r="H460" s="33">
        <f>+E460/17.5</f>
        <v>0.55428571428571427</v>
      </c>
      <c r="I460" s="33">
        <v>1.96</v>
      </c>
    </row>
    <row r="461" spans="1:9" x14ac:dyDescent="0.2">
      <c r="A461" s="34">
        <v>43014</v>
      </c>
      <c r="E461" s="33">
        <f t="shared" si="46"/>
        <v>9.6999999999999993</v>
      </c>
      <c r="F461" s="33">
        <f t="shared" si="47"/>
        <v>7.4300000000000006</v>
      </c>
      <c r="G461" s="33">
        <f t="shared" si="48"/>
        <v>9.6999999999999993</v>
      </c>
      <c r="H461" s="33">
        <f>+E461/17.3</f>
        <v>0.560693641618497</v>
      </c>
      <c r="I461" s="32" t="s">
        <v>249</v>
      </c>
    </row>
    <row r="462" spans="1:9" x14ac:dyDescent="0.2">
      <c r="A462" s="34">
        <v>43021</v>
      </c>
      <c r="E462" s="33">
        <f t="shared" si="46"/>
        <v>9.6999999999999993</v>
      </c>
      <c r="F462" s="33">
        <f t="shared" si="47"/>
        <v>7.4300000000000006</v>
      </c>
      <c r="G462" s="33">
        <f t="shared" si="48"/>
        <v>9.6999999999999993</v>
      </c>
      <c r="H462" s="33">
        <f>+E462/17.4</f>
        <v>0.55747126436781613</v>
      </c>
      <c r="I462" s="33">
        <v>1.96</v>
      </c>
    </row>
    <row r="463" spans="1:9" x14ac:dyDescent="0.2">
      <c r="A463" s="34">
        <v>43028</v>
      </c>
      <c r="E463" s="33">
        <f t="shared" si="46"/>
        <v>9.6999999999999993</v>
      </c>
      <c r="F463" s="33">
        <f t="shared" si="47"/>
        <v>7.4300000000000006</v>
      </c>
      <c r="G463" s="33">
        <f t="shared" si="48"/>
        <v>9.6999999999999993</v>
      </c>
      <c r="H463" s="33">
        <f>+E463/17.3</f>
        <v>0.560693641618497</v>
      </c>
      <c r="I463" s="32" t="s">
        <v>249</v>
      </c>
    </row>
    <row r="464" spans="1:9" x14ac:dyDescent="0.2">
      <c r="A464" s="34">
        <v>43035</v>
      </c>
      <c r="E464" s="33">
        <f t="shared" si="46"/>
        <v>9.6999999999999993</v>
      </c>
      <c r="F464" s="33">
        <f t="shared" si="47"/>
        <v>7.4300000000000006</v>
      </c>
      <c r="G464" s="33">
        <f t="shared" si="48"/>
        <v>9.6999999999999993</v>
      </c>
      <c r="H464" s="33">
        <f>+E464/17.44</f>
        <v>0.55619266055045868</v>
      </c>
      <c r="I464" s="33">
        <v>1.96</v>
      </c>
    </row>
    <row r="465" spans="1:11" x14ac:dyDescent="0.2">
      <c r="A465" s="34">
        <v>43042</v>
      </c>
      <c r="E465" s="33">
        <f t="shared" si="46"/>
        <v>9.6999999999999993</v>
      </c>
      <c r="F465" s="33">
        <f t="shared" si="47"/>
        <v>7.4300000000000006</v>
      </c>
      <c r="G465" s="33">
        <f t="shared" si="48"/>
        <v>9.6999999999999993</v>
      </c>
      <c r="H465" s="33">
        <f>+E465/17.6</f>
        <v>0.55113636363636354</v>
      </c>
      <c r="I465" s="33">
        <v>1.94</v>
      </c>
    </row>
    <row r="466" spans="1:11" x14ac:dyDescent="0.2">
      <c r="A466" s="34">
        <v>43049</v>
      </c>
      <c r="E466" s="33">
        <f t="shared" si="46"/>
        <v>9.6999999999999993</v>
      </c>
      <c r="F466" s="33">
        <f t="shared" si="47"/>
        <v>7.4300000000000006</v>
      </c>
      <c r="G466" s="33">
        <f t="shared" si="48"/>
        <v>9.6999999999999993</v>
      </c>
      <c r="H466" s="33">
        <f>+E466/17.5</f>
        <v>0.55428571428571427</v>
      </c>
      <c r="I466" s="33">
        <v>1.94</v>
      </c>
    </row>
    <row r="467" spans="1:11" x14ac:dyDescent="0.2">
      <c r="A467" s="34">
        <v>43056</v>
      </c>
      <c r="E467" s="33">
        <f t="shared" si="46"/>
        <v>9.6999999999999993</v>
      </c>
      <c r="F467" s="33">
        <f t="shared" si="47"/>
        <v>7.4300000000000006</v>
      </c>
      <c r="G467" s="33">
        <f t="shared" si="48"/>
        <v>9.6999999999999993</v>
      </c>
      <c r="H467" s="33">
        <f>+E467/17.45</f>
        <v>0.55587392550143266</v>
      </c>
      <c r="I467" s="33">
        <v>1.96</v>
      </c>
    </row>
    <row r="468" spans="1:11" x14ac:dyDescent="0.2">
      <c r="A468" s="34">
        <v>43063</v>
      </c>
      <c r="E468" s="33">
        <f t="shared" si="46"/>
        <v>9.6999999999999993</v>
      </c>
      <c r="F468" s="33">
        <f t="shared" si="47"/>
        <v>7.4300000000000006</v>
      </c>
      <c r="G468" s="33">
        <f t="shared" si="48"/>
        <v>9.6999999999999993</v>
      </c>
      <c r="H468" s="33">
        <f>+E468/17.45</f>
        <v>0.55587392550143266</v>
      </c>
      <c r="I468" s="33">
        <v>2.17</v>
      </c>
    </row>
    <row r="469" spans="1:11" x14ac:dyDescent="0.2">
      <c r="A469" s="34">
        <v>43070</v>
      </c>
      <c r="E469" s="33">
        <f t="shared" si="46"/>
        <v>9.6999999999999993</v>
      </c>
      <c r="F469" s="33">
        <f t="shared" si="47"/>
        <v>7.4300000000000006</v>
      </c>
      <c r="G469" s="33">
        <f t="shared" si="48"/>
        <v>9.6999999999999993</v>
      </c>
      <c r="H469" s="33">
        <f>+E469/17.38</f>
        <v>0.55811277330264675</v>
      </c>
      <c r="I469" s="33">
        <v>2.0699999999999998</v>
      </c>
    </row>
    <row r="470" spans="1:11" x14ac:dyDescent="0.2">
      <c r="A470" s="34">
        <v>43076</v>
      </c>
      <c r="E470" s="33">
        <f t="shared" si="46"/>
        <v>9.6999999999999993</v>
      </c>
      <c r="F470" s="33">
        <f t="shared" si="47"/>
        <v>7.4300000000000006</v>
      </c>
      <c r="G470" s="33">
        <f t="shared" si="48"/>
        <v>9.6999999999999993</v>
      </c>
      <c r="H470" s="33">
        <f>+E470/17.2</f>
        <v>0.56395348837209303</v>
      </c>
      <c r="I470" s="32" t="s">
        <v>249</v>
      </c>
    </row>
    <row r="471" spans="1:11" x14ac:dyDescent="0.2">
      <c r="A471" s="34">
        <v>43084</v>
      </c>
      <c r="E471" s="33">
        <f t="shared" si="46"/>
        <v>9.6999999999999993</v>
      </c>
      <c r="F471" s="43">
        <f t="shared" ref="F471:F491" si="49">+(7.5+6.97+6.9+6.42)/4</f>
        <v>6.9474999999999998</v>
      </c>
      <c r="G471" s="33">
        <f t="shared" si="48"/>
        <v>9.6999999999999993</v>
      </c>
      <c r="H471" s="33">
        <f>+E471/17.26</f>
        <v>0.5619930475086905</v>
      </c>
      <c r="I471" s="32">
        <v>2.06</v>
      </c>
    </row>
    <row r="472" spans="1:11" x14ac:dyDescent="0.2">
      <c r="A472" s="34">
        <v>43091</v>
      </c>
      <c r="E472" s="33">
        <f t="shared" si="46"/>
        <v>9.6999999999999993</v>
      </c>
      <c r="F472" s="42">
        <f t="shared" si="49"/>
        <v>6.9474999999999998</v>
      </c>
      <c r="G472" s="33">
        <f t="shared" si="48"/>
        <v>9.6999999999999993</v>
      </c>
      <c r="H472" s="33">
        <f>+E472/17.8</f>
        <v>0.54494382022471899</v>
      </c>
      <c r="I472" s="32">
        <v>2.06</v>
      </c>
      <c r="K472" s="38"/>
    </row>
    <row r="473" spans="1:11" x14ac:dyDescent="0.2">
      <c r="A473" s="34">
        <v>43098</v>
      </c>
      <c r="E473" s="33">
        <f t="shared" si="46"/>
        <v>9.6999999999999993</v>
      </c>
      <c r="F473" s="42">
        <f t="shared" si="49"/>
        <v>6.9474999999999998</v>
      </c>
      <c r="G473" s="33">
        <f t="shared" si="48"/>
        <v>9.6999999999999993</v>
      </c>
      <c r="H473" s="33">
        <f>+E473/18.8</f>
        <v>0.51595744680851063</v>
      </c>
      <c r="I473" s="32">
        <v>2.0699999999999998</v>
      </c>
    </row>
    <row r="474" spans="1:11" ht="19.5" customHeight="1" x14ac:dyDescent="0.2">
      <c r="A474" s="40">
        <v>43105</v>
      </c>
      <c r="B474" s="41"/>
      <c r="C474" s="41"/>
      <c r="D474" s="41"/>
      <c r="E474" s="39">
        <f t="shared" si="46"/>
        <v>9.6999999999999993</v>
      </c>
      <c r="F474" s="39">
        <f t="shared" si="49"/>
        <v>6.9474999999999998</v>
      </c>
      <c r="G474" s="39">
        <f t="shared" si="48"/>
        <v>9.6999999999999993</v>
      </c>
      <c r="H474" s="39">
        <f>+E474/18.6</f>
        <v>0.52150537634408589</v>
      </c>
      <c r="I474" s="41">
        <v>2.0699999999999998</v>
      </c>
      <c r="K474" s="4"/>
    </row>
    <row r="475" spans="1:11" x14ac:dyDescent="0.2">
      <c r="A475" s="40">
        <v>43112</v>
      </c>
      <c r="B475" s="41"/>
      <c r="C475" s="41"/>
      <c r="D475" s="41"/>
      <c r="E475" s="39">
        <f t="shared" si="46"/>
        <v>9.6999999999999993</v>
      </c>
      <c r="F475" s="39">
        <f t="shared" si="49"/>
        <v>6.9474999999999998</v>
      </c>
      <c r="G475" s="39">
        <f t="shared" si="48"/>
        <v>9.6999999999999993</v>
      </c>
      <c r="H475" s="39">
        <f>+E475/18.6</f>
        <v>0.52150537634408589</v>
      </c>
      <c r="I475" s="41" t="s">
        <v>249</v>
      </c>
      <c r="K475" s="4"/>
    </row>
    <row r="476" spans="1:11" x14ac:dyDescent="0.2">
      <c r="A476" s="40">
        <v>43119</v>
      </c>
      <c r="E476" s="39">
        <f t="shared" si="46"/>
        <v>9.6999999999999993</v>
      </c>
      <c r="F476" s="39">
        <f t="shared" si="49"/>
        <v>6.9474999999999998</v>
      </c>
      <c r="G476" s="39">
        <f t="shared" si="48"/>
        <v>9.6999999999999993</v>
      </c>
      <c r="H476" s="39">
        <f>+E476/18.8</f>
        <v>0.51595744680851063</v>
      </c>
      <c r="I476" s="41">
        <v>2.09</v>
      </c>
      <c r="K476" s="4"/>
    </row>
    <row r="477" spans="1:11" x14ac:dyDescent="0.2">
      <c r="A477" s="40">
        <v>43126</v>
      </c>
      <c r="E477" s="39">
        <f t="shared" si="46"/>
        <v>9.6999999999999993</v>
      </c>
      <c r="F477" s="39">
        <f t="shared" si="49"/>
        <v>6.9474999999999998</v>
      </c>
      <c r="G477" s="39">
        <f t="shared" si="48"/>
        <v>9.6999999999999993</v>
      </c>
      <c r="H477" s="39">
        <f>+E477/19.5</f>
        <v>0.49743589743589739</v>
      </c>
      <c r="I477" s="41" t="s">
        <v>249</v>
      </c>
      <c r="K477" s="4"/>
    </row>
    <row r="478" spans="1:11" x14ac:dyDescent="0.2">
      <c r="A478" s="40">
        <v>43133</v>
      </c>
      <c r="E478" s="39">
        <f t="shared" si="46"/>
        <v>9.6999999999999993</v>
      </c>
      <c r="F478" s="39">
        <f t="shared" si="49"/>
        <v>6.9474999999999998</v>
      </c>
      <c r="G478" s="39">
        <f t="shared" si="48"/>
        <v>9.6999999999999993</v>
      </c>
      <c r="H478" s="39">
        <f>+E478/19.6</f>
        <v>0.49489795918367341</v>
      </c>
      <c r="I478" s="41">
        <v>2.09</v>
      </c>
      <c r="K478" s="4"/>
    </row>
    <row r="479" spans="1:11" x14ac:dyDescent="0.2">
      <c r="A479" s="40">
        <v>43140</v>
      </c>
      <c r="E479" s="39">
        <f t="shared" si="46"/>
        <v>9.6999999999999993</v>
      </c>
      <c r="F479" s="39">
        <f t="shared" si="49"/>
        <v>6.9474999999999998</v>
      </c>
      <c r="G479" s="39">
        <f t="shared" si="48"/>
        <v>9.6999999999999993</v>
      </c>
      <c r="H479" s="39">
        <f>+E479/19.85</f>
        <v>0.48866498740554148</v>
      </c>
      <c r="I479" s="41">
        <v>2.09</v>
      </c>
      <c r="K479" s="4"/>
    </row>
    <row r="480" spans="1:11" x14ac:dyDescent="0.2">
      <c r="A480" s="40">
        <v>43147</v>
      </c>
      <c r="E480" s="39">
        <f t="shared" si="46"/>
        <v>9.6999999999999993</v>
      </c>
      <c r="F480" s="39">
        <f t="shared" si="49"/>
        <v>6.9474999999999998</v>
      </c>
      <c r="G480" s="39">
        <f t="shared" si="48"/>
        <v>9.6999999999999993</v>
      </c>
      <c r="H480" s="39">
        <f>+E480/19.85</f>
        <v>0.48866498740554148</v>
      </c>
      <c r="I480" s="41">
        <v>2.0699999999999998</v>
      </c>
      <c r="K480" s="4"/>
    </row>
    <row r="481" spans="1:11" x14ac:dyDescent="0.2">
      <c r="A481" s="40">
        <v>43154</v>
      </c>
      <c r="E481" s="39">
        <f t="shared" si="46"/>
        <v>9.6999999999999993</v>
      </c>
      <c r="F481" s="39">
        <f t="shared" si="49"/>
        <v>6.9474999999999998</v>
      </c>
      <c r="G481" s="39">
        <f t="shared" si="48"/>
        <v>9.6999999999999993</v>
      </c>
      <c r="H481" s="39">
        <f>+E481/19.96</f>
        <v>0.48597194388777548</v>
      </c>
      <c r="I481" s="41" t="s">
        <v>249</v>
      </c>
      <c r="K481" s="4"/>
    </row>
    <row r="482" spans="1:11" x14ac:dyDescent="0.2">
      <c r="A482" s="40">
        <v>43161</v>
      </c>
      <c r="E482" s="39">
        <f t="shared" si="46"/>
        <v>9.6999999999999993</v>
      </c>
      <c r="F482" s="39">
        <f t="shared" si="49"/>
        <v>6.9474999999999998</v>
      </c>
      <c r="G482" s="39">
        <f t="shared" si="48"/>
        <v>9.6999999999999993</v>
      </c>
      <c r="H482" s="39">
        <f>+E482/20.16</f>
        <v>0.48115079365079361</v>
      </c>
      <c r="I482" s="41" t="s">
        <v>249</v>
      </c>
      <c r="K482" s="4"/>
    </row>
    <row r="483" spans="1:11" x14ac:dyDescent="0.2">
      <c r="A483" s="40">
        <v>43168</v>
      </c>
      <c r="E483" s="39">
        <f t="shared" si="46"/>
        <v>9.6999999999999993</v>
      </c>
      <c r="F483" s="39">
        <f t="shared" si="49"/>
        <v>6.9474999999999998</v>
      </c>
      <c r="G483" s="39">
        <f t="shared" si="48"/>
        <v>9.6999999999999993</v>
      </c>
      <c r="H483" s="39">
        <f>+E483/20.4</f>
        <v>0.47549019607843135</v>
      </c>
      <c r="I483" s="41" t="s">
        <v>249</v>
      </c>
      <c r="K483" s="4"/>
    </row>
    <row r="484" spans="1:11" x14ac:dyDescent="0.2">
      <c r="A484" s="40">
        <v>43175</v>
      </c>
      <c r="E484" s="39">
        <f t="shared" si="46"/>
        <v>9.6999999999999993</v>
      </c>
      <c r="F484" s="39">
        <f t="shared" si="49"/>
        <v>6.9474999999999998</v>
      </c>
      <c r="G484" s="39">
        <f t="shared" si="48"/>
        <v>9.6999999999999993</v>
      </c>
      <c r="H484" s="39">
        <f>+E484/20.2</f>
        <v>0.48019801980198018</v>
      </c>
      <c r="I484" s="41" t="s">
        <v>249</v>
      </c>
    </row>
    <row r="485" spans="1:11" x14ac:dyDescent="0.2">
      <c r="A485" s="40">
        <v>43182</v>
      </c>
      <c r="E485" s="39">
        <f t="shared" si="46"/>
        <v>9.6999999999999993</v>
      </c>
      <c r="F485" s="39">
        <f t="shared" si="49"/>
        <v>6.9474999999999998</v>
      </c>
      <c r="G485" s="39">
        <f t="shared" si="48"/>
        <v>9.6999999999999993</v>
      </c>
      <c r="H485" s="39">
        <f>+E485/20.28</f>
        <v>0.47830374753451671</v>
      </c>
      <c r="I485" s="41">
        <v>2.0699999999999998</v>
      </c>
    </row>
    <row r="486" spans="1:11" x14ac:dyDescent="0.2">
      <c r="A486" s="40">
        <v>43187</v>
      </c>
      <c r="E486" s="39">
        <f t="shared" si="46"/>
        <v>9.6999999999999993</v>
      </c>
      <c r="F486" s="39">
        <f t="shared" si="49"/>
        <v>6.9474999999999998</v>
      </c>
      <c r="G486" s="39">
        <f t="shared" si="48"/>
        <v>9.6999999999999993</v>
      </c>
      <c r="H486" s="39">
        <f>+E486/20.2</f>
        <v>0.48019801980198018</v>
      </c>
      <c r="I486" s="41" t="s">
        <v>249</v>
      </c>
    </row>
    <row r="487" spans="1:11" x14ac:dyDescent="0.2">
      <c r="A487" s="40">
        <v>43196</v>
      </c>
      <c r="E487" s="39">
        <f t="shared" si="46"/>
        <v>9.6999999999999993</v>
      </c>
      <c r="F487" s="39">
        <f t="shared" si="49"/>
        <v>6.9474999999999998</v>
      </c>
      <c r="G487" s="39">
        <f t="shared" si="48"/>
        <v>9.6999999999999993</v>
      </c>
      <c r="H487" s="39">
        <f>+E487/20.2</f>
        <v>0.48019801980198018</v>
      </c>
      <c r="I487" s="41" t="s">
        <v>249</v>
      </c>
    </row>
    <row r="488" spans="1:11" x14ac:dyDescent="0.2">
      <c r="A488" s="40">
        <v>43203</v>
      </c>
      <c r="E488" s="39">
        <f t="shared" si="46"/>
        <v>9.6999999999999993</v>
      </c>
      <c r="F488" s="39">
        <f t="shared" si="49"/>
        <v>6.9474999999999998</v>
      </c>
      <c r="G488" s="39">
        <f t="shared" si="48"/>
        <v>9.6999999999999993</v>
      </c>
      <c r="H488" s="39">
        <f>+E488/20.2</f>
        <v>0.48019801980198018</v>
      </c>
      <c r="I488" s="41">
        <v>2.0299999999999998</v>
      </c>
    </row>
    <row r="489" spans="1:11" x14ac:dyDescent="0.2">
      <c r="A489" s="40">
        <v>43210</v>
      </c>
      <c r="E489" s="39">
        <f t="shared" si="46"/>
        <v>9.6999999999999993</v>
      </c>
      <c r="F489" s="39">
        <f t="shared" si="49"/>
        <v>6.9474999999999998</v>
      </c>
      <c r="G489" s="39">
        <f t="shared" si="48"/>
        <v>9.6999999999999993</v>
      </c>
      <c r="H489" s="39">
        <f>+E489/20.2</f>
        <v>0.48019801980198018</v>
      </c>
      <c r="I489" s="39">
        <v>2</v>
      </c>
    </row>
    <row r="490" spans="1:11" x14ac:dyDescent="0.2">
      <c r="A490" s="40">
        <v>43217</v>
      </c>
      <c r="E490" s="39">
        <f t="shared" si="46"/>
        <v>9.6999999999999993</v>
      </c>
      <c r="F490" s="39">
        <f t="shared" si="49"/>
        <v>6.9474999999999998</v>
      </c>
      <c r="G490" s="39">
        <f t="shared" si="48"/>
        <v>9.6999999999999993</v>
      </c>
      <c r="H490" s="39">
        <f>+E490/20.4</f>
        <v>0.47549019607843135</v>
      </c>
      <c r="I490" s="39">
        <v>1.82</v>
      </c>
    </row>
    <row r="491" spans="1:11" x14ac:dyDescent="0.2">
      <c r="A491" s="40">
        <v>43224</v>
      </c>
      <c r="E491" s="39">
        <f t="shared" si="46"/>
        <v>9.6999999999999993</v>
      </c>
      <c r="F491" s="39">
        <f t="shared" si="49"/>
        <v>6.9474999999999998</v>
      </c>
      <c r="G491" s="39">
        <f t="shared" si="48"/>
        <v>9.6999999999999993</v>
      </c>
      <c r="H491" s="39">
        <f>+E491/21.8</f>
        <v>0.44495412844036691</v>
      </c>
      <c r="I491" s="41" t="s">
        <v>249</v>
      </c>
    </row>
    <row r="492" spans="1:11" x14ac:dyDescent="0.2">
      <c r="A492" s="40">
        <v>43230</v>
      </c>
      <c r="E492" s="39">
        <f>+(10.5+9.9)/2</f>
        <v>10.199999999999999</v>
      </c>
      <c r="F492" s="39">
        <v>7.45</v>
      </c>
      <c r="G492" s="39">
        <f>+(10.5+9.9)/2</f>
        <v>10.199999999999999</v>
      </c>
      <c r="H492" s="39">
        <f>+E492/23</f>
        <v>0.44347826086956521</v>
      </c>
      <c r="I492" s="41" t="s">
        <v>249</v>
      </c>
    </row>
    <row r="493" spans="1:11" x14ac:dyDescent="0.2">
      <c r="A493" s="40">
        <v>43238</v>
      </c>
      <c r="E493" s="39">
        <f>+(12+11.4)/2</f>
        <v>11.7</v>
      </c>
      <c r="F493" s="39">
        <v>8.8800000000000008</v>
      </c>
      <c r="G493" s="39">
        <f>+(12+11.4)/2</f>
        <v>11.7</v>
      </c>
      <c r="H493" s="39">
        <f>+E493/24.6</f>
        <v>0.4756097560975609</v>
      </c>
      <c r="I493" s="39">
        <v>1.85</v>
      </c>
    </row>
    <row r="494" spans="1:11" x14ac:dyDescent="0.2">
      <c r="A494" s="40">
        <v>43244</v>
      </c>
      <c r="E494" s="39">
        <f>+(12+11.4)/2</f>
        <v>11.7</v>
      </c>
      <c r="F494" s="39">
        <v>9.8800000000000008</v>
      </c>
      <c r="G494" s="39">
        <f>+(12+11.4)/2</f>
        <v>11.7</v>
      </c>
      <c r="H494" s="39">
        <f>+E494/24.4</f>
        <v>0.47950819672131145</v>
      </c>
      <c r="I494" s="41" t="s">
        <v>249</v>
      </c>
    </row>
    <row r="495" spans="1:11" x14ac:dyDescent="0.2">
      <c r="A495" s="40">
        <v>43252</v>
      </c>
      <c r="E495" s="39">
        <f>+(13+12.4)/2</f>
        <v>12.7</v>
      </c>
      <c r="F495" s="39">
        <f>+(10.5+9.76+9.9+9.2)/4</f>
        <v>9.84</v>
      </c>
      <c r="G495" s="39">
        <f>+(13+12.4)/2</f>
        <v>12.7</v>
      </c>
      <c r="H495" s="39">
        <f>+E495/25.1</f>
        <v>0.50597609561752988</v>
      </c>
      <c r="I495" s="41" t="s">
        <v>249</v>
      </c>
    </row>
    <row r="496" spans="1:11" x14ac:dyDescent="0.2">
      <c r="A496" s="40">
        <v>43259</v>
      </c>
      <c r="E496" s="39">
        <f>+(13+12.4)/2</f>
        <v>12.7</v>
      </c>
      <c r="F496" s="39">
        <f>+(10.5+9.76+9.9+9.2)/4</f>
        <v>9.84</v>
      </c>
      <c r="G496" s="39">
        <f>+(13+12.4)/2</f>
        <v>12.7</v>
      </c>
      <c r="H496" s="39">
        <f>+E496/24.9</f>
        <v>0.51004016064257029</v>
      </c>
      <c r="I496" s="41" t="s">
        <v>249</v>
      </c>
    </row>
    <row r="497" spans="1:9" x14ac:dyDescent="0.2">
      <c r="A497" s="40">
        <v>43266</v>
      </c>
      <c r="E497" s="39">
        <f>+(15+14.4)/2</f>
        <v>14.7</v>
      </c>
      <c r="F497" s="39">
        <f>+(12.5+11.62+11.9+11.07)/4</f>
        <v>11.772499999999999</v>
      </c>
      <c r="G497" s="39">
        <f>+(15+14.4)/2</f>
        <v>14.7</v>
      </c>
      <c r="H497" s="39">
        <f>+E497/27.9</f>
        <v>0.5268817204301075</v>
      </c>
      <c r="I497" s="41" t="s">
        <v>249</v>
      </c>
    </row>
    <row r="498" spans="1:9" x14ac:dyDescent="0.2">
      <c r="A498" s="40">
        <v>43273</v>
      </c>
      <c r="E498" s="39">
        <f t="shared" ref="E498:E505" si="50">+(17+16.4)/2</f>
        <v>16.7</v>
      </c>
      <c r="F498" s="39">
        <f>+(14.5+13.48+13.9+12.93)/4</f>
        <v>13.702500000000001</v>
      </c>
      <c r="G498" s="39">
        <f t="shared" ref="G498:G505" si="51">+(17+16.4)/2</f>
        <v>16.7</v>
      </c>
      <c r="H498" s="39">
        <f>+E498/27.7</f>
        <v>0.6028880866425993</v>
      </c>
      <c r="I498" s="39">
        <v>1.78</v>
      </c>
    </row>
    <row r="499" spans="1:9" x14ac:dyDescent="0.2">
      <c r="A499" s="40">
        <v>43280</v>
      </c>
      <c r="E499" s="39">
        <f t="shared" si="50"/>
        <v>16.7</v>
      </c>
      <c r="F499" s="39">
        <f t="shared" ref="F499:F508" si="52">+(13.5+12.55+12.9+12)/4</f>
        <v>12.737500000000001</v>
      </c>
      <c r="G499" s="39">
        <f t="shared" si="51"/>
        <v>16.7</v>
      </c>
      <c r="H499" s="39">
        <f>+E499/27.4</f>
        <v>0.60948905109489049</v>
      </c>
      <c r="I499" s="41" t="s">
        <v>249</v>
      </c>
    </row>
    <row r="500" spans="1:9" x14ac:dyDescent="0.2">
      <c r="A500" s="40">
        <v>43287</v>
      </c>
      <c r="E500" s="39">
        <f t="shared" si="50"/>
        <v>16.7</v>
      </c>
      <c r="F500" s="39">
        <f t="shared" si="52"/>
        <v>12.737500000000001</v>
      </c>
      <c r="G500" s="39">
        <f t="shared" si="51"/>
        <v>16.7</v>
      </c>
      <c r="H500" s="39">
        <f>+E500/28.1</f>
        <v>0.59430604982206403</v>
      </c>
      <c r="I500" s="41" t="s">
        <v>249</v>
      </c>
    </row>
    <row r="501" spans="1:9" x14ac:dyDescent="0.2">
      <c r="A501" s="40">
        <v>43294</v>
      </c>
      <c r="E501" s="39">
        <f t="shared" si="50"/>
        <v>16.7</v>
      </c>
      <c r="F501" s="39">
        <f t="shared" si="52"/>
        <v>12.737500000000001</v>
      </c>
      <c r="G501" s="39">
        <f t="shared" si="51"/>
        <v>16.7</v>
      </c>
      <c r="H501" s="39">
        <f>+E501/27.4</f>
        <v>0.60948905109489049</v>
      </c>
      <c r="I501" s="41" t="s">
        <v>249</v>
      </c>
    </row>
    <row r="502" spans="1:9" x14ac:dyDescent="0.2">
      <c r="A502" s="40">
        <v>43301</v>
      </c>
      <c r="E502" s="39">
        <f t="shared" si="50"/>
        <v>16.7</v>
      </c>
      <c r="F502" s="39">
        <f t="shared" si="52"/>
        <v>12.737500000000001</v>
      </c>
      <c r="G502" s="39">
        <f t="shared" si="51"/>
        <v>16.7</v>
      </c>
      <c r="H502" s="39">
        <f>+E502/27.6</f>
        <v>0.60507246376811585</v>
      </c>
      <c r="I502" s="39">
        <v>1.61</v>
      </c>
    </row>
    <row r="503" spans="1:9" x14ac:dyDescent="0.2">
      <c r="A503" s="40">
        <v>43308</v>
      </c>
      <c r="E503" s="39">
        <f t="shared" si="50"/>
        <v>16.7</v>
      </c>
      <c r="F503" s="39">
        <f t="shared" si="52"/>
        <v>12.737500000000001</v>
      </c>
      <c r="G503" s="39">
        <f t="shared" si="51"/>
        <v>16.7</v>
      </c>
      <c r="H503" s="39">
        <f>+E503/27.4</f>
        <v>0.60948905109489049</v>
      </c>
      <c r="I503" s="39">
        <v>1.53</v>
      </c>
    </row>
    <row r="504" spans="1:9" x14ac:dyDescent="0.2">
      <c r="A504" s="40">
        <v>43315</v>
      </c>
      <c r="E504" s="39">
        <f t="shared" si="50"/>
        <v>16.7</v>
      </c>
      <c r="F504" s="39">
        <f t="shared" si="52"/>
        <v>12.737500000000001</v>
      </c>
      <c r="G504" s="39">
        <f t="shared" si="51"/>
        <v>16.7</v>
      </c>
      <c r="H504" s="39">
        <f>+E504/27.5</f>
        <v>0.6072727272727273</v>
      </c>
      <c r="I504" s="39">
        <v>1.5</v>
      </c>
    </row>
    <row r="505" spans="1:9" x14ac:dyDescent="0.2">
      <c r="A505" s="40">
        <v>43322</v>
      </c>
      <c r="E505" s="39">
        <f t="shared" si="50"/>
        <v>16.7</v>
      </c>
      <c r="F505" s="39">
        <f t="shared" si="52"/>
        <v>12.737500000000001</v>
      </c>
      <c r="G505" s="39">
        <f t="shared" si="51"/>
        <v>16.7</v>
      </c>
      <c r="H505" s="39">
        <f>+E505/28</f>
        <v>0.59642857142857142</v>
      </c>
      <c r="I505" s="39">
        <v>1.52</v>
      </c>
    </row>
    <row r="506" spans="1:9" x14ac:dyDescent="0.2">
      <c r="A506" s="40">
        <v>43329</v>
      </c>
      <c r="E506" s="39">
        <f>+(17.5+16.9)/2</f>
        <v>17.2</v>
      </c>
      <c r="F506" s="39">
        <f t="shared" si="52"/>
        <v>12.737500000000001</v>
      </c>
      <c r="G506" s="39">
        <f>+(17.5+16.9)/2</f>
        <v>17.2</v>
      </c>
      <c r="H506" s="39">
        <f>+E506/30</f>
        <v>0.57333333333333336</v>
      </c>
      <c r="I506" s="39">
        <v>1.52</v>
      </c>
    </row>
    <row r="507" spans="1:9" x14ac:dyDescent="0.2">
      <c r="A507" s="40">
        <v>43336</v>
      </c>
      <c r="E507" s="39">
        <f>+(17.5+16.9)/2</f>
        <v>17.2</v>
      </c>
      <c r="F507" s="39">
        <f t="shared" si="52"/>
        <v>12.737500000000001</v>
      </c>
      <c r="G507" s="39">
        <f>+(17.5+16.9)/2</f>
        <v>17.2</v>
      </c>
      <c r="H507" s="39">
        <f>+E507/30.2</f>
        <v>0.56953642384105962</v>
      </c>
      <c r="I507" s="41" t="s">
        <v>249</v>
      </c>
    </row>
    <row r="508" spans="1:9" x14ac:dyDescent="0.2">
      <c r="A508" s="40">
        <v>43343</v>
      </c>
      <c r="E508" s="39">
        <f>+(17.5+16.9)/2</f>
        <v>17.2</v>
      </c>
      <c r="F508" s="39">
        <f t="shared" si="52"/>
        <v>12.737500000000001</v>
      </c>
      <c r="G508" s="39">
        <f>+(17.5+16.9)/2</f>
        <v>17.2</v>
      </c>
      <c r="H508" s="39">
        <f>+E508/37.6</f>
        <v>0.45744680851063824</v>
      </c>
      <c r="I508" s="39">
        <v>1.62</v>
      </c>
    </row>
    <row r="509" spans="1:9" x14ac:dyDescent="0.2">
      <c r="A509" s="40">
        <v>43350</v>
      </c>
      <c r="E509" s="39">
        <f>+(21+20.4)/2</f>
        <v>20.7</v>
      </c>
      <c r="F509" s="39">
        <f>+(16+14.88+15.4+14.33)/4</f>
        <v>15.1525</v>
      </c>
      <c r="G509" s="39">
        <f>+(21+20.4)/2</f>
        <v>20.7</v>
      </c>
      <c r="H509" s="39">
        <f>+E509/38</f>
        <v>0.54473684210526319</v>
      </c>
      <c r="I509" s="39">
        <v>1.52</v>
      </c>
    </row>
    <row r="510" spans="1:9" x14ac:dyDescent="0.2">
      <c r="A510" s="40">
        <v>43357</v>
      </c>
      <c r="E510" s="39">
        <f>+(19+18.4)/2</f>
        <v>18.7</v>
      </c>
      <c r="F510" s="39">
        <f>+(14+13.02+13.4+12.47)/4</f>
        <v>13.2225</v>
      </c>
      <c r="G510" s="39">
        <f>+(19+18.4)/2</f>
        <v>18.7</v>
      </c>
      <c r="H510" s="39">
        <f>+E510/38.2</f>
        <v>0.48952879581151826</v>
      </c>
      <c r="I510" s="39">
        <v>1.54</v>
      </c>
    </row>
    <row r="511" spans="1:9" x14ac:dyDescent="0.2">
      <c r="A511" s="40">
        <v>43364</v>
      </c>
      <c r="E511" s="39">
        <f>+(19+18.4)/2</f>
        <v>18.7</v>
      </c>
      <c r="F511" s="39">
        <f>+(14+13.02+13.4+12.47)/4</f>
        <v>13.2225</v>
      </c>
      <c r="G511" s="39">
        <f>+(19+18.4)/2</f>
        <v>18.7</v>
      </c>
      <c r="H511" s="39">
        <f>+E511/38.3</f>
        <v>0.48825065274151436</v>
      </c>
      <c r="I511" s="39">
        <v>1.57</v>
      </c>
    </row>
    <row r="512" spans="1:9" x14ac:dyDescent="0.2">
      <c r="A512" s="40">
        <v>43371</v>
      </c>
      <c r="E512" s="39">
        <f>+(19+18.4)/2</f>
        <v>18.7</v>
      </c>
      <c r="F512" s="39">
        <f>+(14+13.02+13.4+12.47)/4</f>
        <v>13.2225</v>
      </c>
      <c r="G512" s="39">
        <f>+(19+18.4)/2</f>
        <v>18.7</v>
      </c>
      <c r="H512" s="39">
        <f>+E512/40</f>
        <v>0.46749999999999997</v>
      </c>
      <c r="I512" s="41" t="s">
        <v>249</v>
      </c>
    </row>
    <row r="513" spans="1:9" x14ac:dyDescent="0.2">
      <c r="A513" s="40">
        <v>43378</v>
      </c>
      <c r="E513" s="39">
        <f>+(18+17.4)/2</f>
        <v>17.7</v>
      </c>
      <c r="F513" s="39">
        <f>+(12+11.16+11.4+10.6)/4</f>
        <v>11.290000000000001</v>
      </c>
      <c r="G513" s="39">
        <f>+(18+17.4)/2</f>
        <v>17.7</v>
      </c>
      <c r="H513" s="39">
        <f>+E513/38.7</f>
        <v>0.45736434108527124</v>
      </c>
      <c r="I513" s="41" t="s">
        <v>249</v>
      </c>
    </row>
    <row r="514" spans="1:9" x14ac:dyDescent="0.2">
      <c r="A514" s="40">
        <v>43385</v>
      </c>
      <c r="E514" s="39">
        <f>+(18+17.4)/2</f>
        <v>17.7</v>
      </c>
      <c r="F514" s="39">
        <f>+(12+11.16+11.4+10.6)/4</f>
        <v>11.290000000000001</v>
      </c>
      <c r="G514" s="39">
        <f>+(18+17.4)/2</f>
        <v>17.7</v>
      </c>
      <c r="H514" s="39">
        <f>+E514/38.79</f>
        <v>0.45630317092034028</v>
      </c>
      <c r="I514" s="41" t="s">
        <v>249</v>
      </c>
    </row>
    <row r="515" spans="1:9" x14ac:dyDescent="0.2">
      <c r="A515" s="40">
        <v>43392</v>
      </c>
      <c r="E515" s="39">
        <f>+(18+17.4)/2</f>
        <v>17.7</v>
      </c>
      <c r="F515" s="39">
        <f>+(12+11.16+11.4+10.6)/4</f>
        <v>11.290000000000001</v>
      </c>
      <c r="G515" s="39">
        <f>+(18+17.4)/2</f>
        <v>17.7</v>
      </c>
      <c r="H515" s="39">
        <f>+E515/36.2</f>
        <v>0.48895027624309384</v>
      </c>
      <c r="I515" s="39">
        <v>1.57</v>
      </c>
    </row>
    <row r="516" spans="1:9" x14ac:dyDescent="0.2">
      <c r="A516" s="40">
        <v>43399</v>
      </c>
      <c r="E516" s="39">
        <f>+(18+17.4)/2</f>
        <v>17.7</v>
      </c>
      <c r="F516" s="39">
        <f>+(11+10.23+10.4+9.67)/4</f>
        <v>10.325000000000001</v>
      </c>
      <c r="G516" s="39">
        <f>+(18+17.4)/2</f>
        <v>17.7</v>
      </c>
      <c r="H516" s="39">
        <f>+E516/37</f>
        <v>0.47837837837837838</v>
      </c>
      <c r="I516" s="39">
        <v>1.51</v>
      </c>
    </row>
    <row r="517" spans="1:9" x14ac:dyDescent="0.2">
      <c r="A517" s="40">
        <v>43406</v>
      </c>
      <c r="E517" s="39">
        <f>+(18+17.4)/2</f>
        <v>17.7</v>
      </c>
      <c r="F517" s="39">
        <f>+(11+10.23+10.4+9.67)/4</f>
        <v>10.325000000000001</v>
      </c>
      <c r="G517" s="39">
        <f>+(18+17.4)/2</f>
        <v>17.7</v>
      </c>
      <c r="H517" s="39">
        <f>+E517/36</f>
        <v>0.49166666666666664</v>
      </c>
      <c r="I517" s="41" t="s">
        <v>249</v>
      </c>
    </row>
    <row r="518" spans="1:9" x14ac:dyDescent="0.2">
      <c r="A518" s="40">
        <v>43413</v>
      </c>
      <c r="E518" s="39">
        <f t="shared" ref="E518:E523" si="53">+(17+16.4)/2</f>
        <v>16.7</v>
      </c>
      <c r="F518" s="39">
        <f t="shared" ref="F518:F523" si="54">+(10+9.3+9.4+8.74)/4</f>
        <v>9.3600000000000012</v>
      </c>
      <c r="G518" s="39">
        <f t="shared" ref="G518:G523" si="55">+(17+16.4)/2</f>
        <v>16.7</v>
      </c>
      <c r="H518" s="39">
        <f>+E518/35.5</f>
        <v>0.47042253521126759</v>
      </c>
      <c r="I518" s="39">
        <v>1.47</v>
      </c>
    </row>
    <row r="519" spans="1:9" x14ac:dyDescent="0.2">
      <c r="A519" s="40">
        <v>43420</v>
      </c>
      <c r="E519" s="39">
        <f t="shared" si="53"/>
        <v>16.7</v>
      </c>
      <c r="F519" s="39">
        <f t="shared" si="54"/>
        <v>9.3600000000000012</v>
      </c>
      <c r="G519" s="39">
        <f t="shared" si="55"/>
        <v>16.7</v>
      </c>
      <c r="H519" s="39">
        <f>+E519/36</f>
        <v>0.46388888888888885</v>
      </c>
      <c r="I519" s="41" t="s">
        <v>249</v>
      </c>
    </row>
    <row r="520" spans="1:9" x14ac:dyDescent="0.2">
      <c r="A520" s="40">
        <v>43427</v>
      </c>
      <c r="E520" s="39">
        <f t="shared" si="53"/>
        <v>16.7</v>
      </c>
      <c r="F520" s="39">
        <f t="shared" si="54"/>
        <v>9.3600000000000012</v>
      </c>
      <c r="G520" s="39">
        <f t="shared" si="55"/>
        <v>16.7</v>
      </c>
      <c r="H520" s="39">
        <f>+E520/36.92</f>
        <v>0.45232936078006497</v>
      </c>
      <c r="I520" s="41" t="s">
        <v>249</v>
      </c>
    </row>
    <row r="521" spans="1:9" x14ac:dyDescent="0.2">
      <c r="A521" s="40">
        <v>43433</v>
      </c>
      <c r="E521" s="39">
        <f t="shared" si="53"/>
        <v>16.7</v>
      </c>
      <c r="F521" s="39">
        <f t="shared" si="54"/>
        <v>9.3600000000000012</v>
      </c>
      <c r="G521" s="39">
        <f t="shared" si="55"/>
        <v>16.7</v>
      </c>
      <c r="H521" s="39">
        <f>+E521/38</f>
        <v>0.43947368421052629</v>
      </c>
      <c r="I521" s="41" t="s">
        <v>249</v>
      </c>
    </row>
    <row r="522" spans="1:9" x14ac:dyDescent="0.2">
      <c r="A522" s="40">
        <v>43441</v>
      </c>
      <c r="E522" s="39">
        <f t="shared" si="53"/>
        <v>16.7</v>
      </c>
      <c r="F522" s="39">
        <f t="shared" si="54"/>
        <v>9.3600000000000012</v>
      </c>
      <c r="G522" s="39">
        <f t="shared" si="55"/>
        <v>16.7</v>
      </c>
      <c r="H522" s="39">
        <f>+E522/37.5</f>
        <v>0.4453333333333333</v>
      </c>
      <c r="I522" s="41" t="s">
        <v>249</v>
      </c>
    </row>
    <row r="523" spans="1:9" x14ac:dyDescent="0.2">
      <c r="A523" s="40">
        <v>43448</v>
      </c>
      <c r="E523" s="39">
        <f t="shared" si="53"/>
        <v>16.7</v>
      </c>
      <c r="F523" s="39">
        <f t="shared" si="54"/>
        <v>9.3600000000000012</v>
      </c>
      <c r="G523" s="39">
        <f t="shared" si="55"/>
        <v>16.7</v>
      </c>
      <c r="H523" s="39">
        <f>+E523/37.6</f>
        <v>0.44414893617021273</v>
      </c>
      <c r="I523" s="39">
        <v>1.42</v>
      </c>
    </row>
    <row r="524" spans="1:9" x14ac:dyDescent="0.2">
      <c r="A524" s="40">
        <v>43455</v>
      </c>
      <c r="E524" s="39">
        <f>+(16+15.4)/2</f>
        <v>15.7</v>
      </c>
      <c r="F524" s="39">
        <f>+(8+7.44+7.4+6.88)/4</f>
        <v>7.4300000000000006</v>
      </c>
      <c r="G524" s="39">
        <f>+(16+15.4)/2</f>
        <v>15.7</v>
      </c>
      <c r="H524" s="39">
        <f>+E524/38.3</f>
        <v>0.40992167101827676</v>
      </c>
      <c r="I524" s="41" t="s">
        <v>249</v>
      </c>
    </row>
    <row r="525" spans="1:9" x14ac:dyDescent="0.2">
      <c r="A525" s="40">
        <v>43462</v>
      </c>
      <c r="E525" s="39">
        <f>+(16+15.4)/2</f>
        <v>15.7</v>
      </c>
      <c r="F525" s="39">
        <f>+(8+7.44+7.4+6.88)/4</f>
        <v>7.4300000000000006</v>
      </c>
      <c r="G525" s="39">
        <f>+(16+15.4)/2</f>
        <v>15.7</v>
      </c>
      <c r="H525" s="39">
        <f>+E525/38.6</f>
        <v>0.40673575129533673</v>
      </c>
      <c r="I525" s="41" t="s">
        <v>249</v>
      </c>
    </row>
    <row r="526" spans="1:9" ht="18" customHeight="1" x14ac:dyDescent="0.2">
      <c r="A526" s="44">
        <v>43469</v>
      </c>
      <c r="B526" s="32"/>
      <c r="C526" s="32"/>
      <c r="D526" s="32"/>
      <c r="E526" s="45">
        <f>+(16+15.4)/2</f>
        <v>15.7</v>
      </c>
      <c r="F526" s="45">
        <f>+(8+7.44+7.4+6.88)/4</f>
        <v>7.4300000000000006</v>
      </c>
      <c r="G526" s="45">
        <f>+(16+15.4)/2</f>
        <v>15.7</v>
      </c>
      <c r="H526" s="45">
        <f>+E526/37.7</f>
        <v>0.416445623342175</v>
      </c>
      <c r="I526" s="46" t="s">
        <v>249</v>
      </c>
    </row>
    <row r="527" spans="1:9" ht="15" customHeight="1" x14ac:dyDescent="0.2">
      <c r="A527" s="44">
        <v>43476</v>
      </c>
      <c r="E527" s="45">
        <f>+(16+15.4)/2</f>
        <v>15.7</v>
      </c>
      <c r="F527" s="45">
        <f>+(8+7.44+7.4+6.88)/4</f>
        <v>7.4300000000000006</v>
      </c>
      <c r="G527" s="45">
        <f>+(16+15.4)/2</f>
        <v>15.7</v>
      </c>
      <c r="H527" s="45">
        <f>+E527/37.4</f>
        <v>0.4197860962566845</v>
      </c>
      <c r="I527" s="46" t="s">
        <v>249</v>
      </c>
    </row>
    <row r="528" spans="1:9" x14ac:dyDescent="0.2">
      <c r="A528" s="44">
        <v>43483</v>
      </c>
      <c r="E528" s="45">
        <f>+(13+12.4)/2</f>
        <v>12.7</v>
      </c>
      <c r="F528" s="45">
        <f>+(5+4.65+4.4+4.09)/4</f>
        <v>4.5350000000000001</v>
      </c>
      <c r="G528" s="45">
        <f>+(13+12.4)/2</f>
        <v>12.7</v>
      </c>
      <c r="H528" s="45">
        <f>+E528/37.5</f>
        <v>0.33866666666666667</v>
      </c>
      <c r="I528" s="46" t="s">
        <v>249</v>
      </c>
    </row>
    <row r="529" spans="1:9" ht="14.25" customHeight="1" x14ac:dyDescent="0.2">
      <c r="A529" s="44">
        <v>43490</v>
      </c>
      <c r="E529" s="45">
        <f>+(13+12.4)/2</f>
        <v>12.7</v>
      </c>
      <c r="F529" s="45">
        <f>+(5+4.65+4.4+4.09)/4</f>
        <v>4.5350000000000001</v>
      </c>
      <c r="G529" s="45">
        <f>+(13+12.4)/2</f>
        <v>12.7</v>
      </c>
      <c r="H529" s="45">
        <f>+E529/37.5</f>
        <v>0.33866666666666667</v>
      </c>
      <c r="I529" s="45">
        <v>1.38</v>
      </c>
    </row>
    <row r="530" spans="1:9" ht="15" customHeight="1" x14ac:dyDescent="0.2">
      <c r="A530" s="44">
        <v>43497</v>
      </c>
      <c r="E530" s="45">
        <f>+(13+12.4)/2</f>
        <v>12.7</v>
      </c>
      <c r="F530" s="45">
        <f>+(5+4.65+4.4+4.09)/4</f>
        <v>4.5350000000000001</v>
      </c>
      <c r="G530" s="45">
        <f>+(13+12.4)/2</f>
        <v>12.7</v>
      </c>
      <c r="H530" s="45">
        <f>+E530/37.5</f>
        <v>0.33866666666666667</v>
      </c>
      <c r="I530" s="46" t="s">
        <v>249</v>
      </c>
    </row>
    <row r="531" spans="1:9" ht="15" customHeight="1" x14ac:dyDescent="0.2">
      <c r="A531" s="44">
        <v>43504</v>
      </c>
      <c r="E531" s="45">
        <f>+(13+12.4)/2</f>
        <v>12.7</v>
      </c>
      <c r="F531" s="45">
        <f>+(5+4.65+4.4+4.09)/4</f>
        <v>4.5350000000000001</v>
      </c>
      <c r="G531" s="45">
        <f>+(13+12.4)/2</f>
        <v>12.7</v>
      </c>
      <c r="H531" s="45">
        <f>+E531/37.7</f>
        <v>0.33687002652519887</v>
      </c>
      <c r="I531" s="46" t="s">
        <v>249</v>
      </c>
    </row>
    <row r="532" spans="1:9" ht="15.75" customHeight="1" x14ac:dyDescent="0.2">
      <c r="A532" s="44">
        <v>43511</v>
      </c>
      <c r="E532" s="45">
        <f>+(13+12.4)/2</f>
        <v>12.7</v>
      </c>
      <c r="F532" s="45">
        <f>+(5+4.65+4.4+4.09)/4</f>
        <v>4.5350000000000001</v>
      </c>
      <c r="G532" s="45">
        <f>+(13+12.4)/2</f>
        <v>12.7</v>
      </c>
      <c r="H532" s="45">
        <f>+E532/38.2</f>
        <v>0.33246073298429313</v>
      </c>
      <c r="I532" s="46" t="s">
        <v>249</v>
      </c>
    </row>
    <row r="533" spans="1:9" ht="17.25" customHeight="1" x14ac:dyDescent="0.2">
      <c r="A533" s="44">
        <v>43518</v>
      </c>
      <c r="E533" s="45">
        <f t="shared" ref="E533:E549" si="56">+(12+11.4)/2</f>
        <v>11.7</v>
      </c>
      <c r="F533" s="45">
        <f t="shared" ref="F533:F549" si="57">+(4+3.72+3.4+3.16)/4</f>
        <v>3.5700000000000003</v>
      </c>
      <c r="G533" s="45">
        <f t="shared" ref="G533:G549" si="58">+(12+11.4)/2</f>
        <v>11.7</v>
      </c>
      <c r="H533" s="45">
        <f>+E533/39.7</f>
        <v>0.29471032745591935</v>
      </c>
      <c r="I533" s="46" t="s">
        <v>249</v>
      </c>
    </row>
    <row r="534" spans="1:9" ht="18.75" customHeight="1" x14ac:dyDescent="0.2">
      <c r="A534" s="44">
        <v>43525</v>
      </c>
      <c r="E534" s="45">
        <f t="shared" si="56"/>
        <v>11.7</v>
      </c>
      <c r="F534" s="45">
        <f t="shared" si="57"/>
        <v>3.5700000000000003</v>
      </c>
      <c r="G534" s="45">
        <f t="shared" si="58"/>
        <v>11.7</v>
      </c>
      <c r="H534" s="45">
        <f>+E534/39.7</f>
        <v>0.29471032745591935</v>
      </c>
      <c r="I534" s="46" t="s">
        <v>249</v>
      </c>
    </row>
    <row r="535" spans="1:9" ht="16.5" customHeight="1" x14ac:dyDescent="0.2">
      <c r="A535" s="44">
        <v>43532</v>
      </c>
      <c r="E535" s="45">
        <f t="shared" si="56"/>
        <v>11.7</v>
      </c>
      <c r="F535" s="45">
        <f t="shared" si="57"/>
        <v>3.5700000000000003</v>
      </c>
      <c r="G535" s="45">
        <f t="shared" si="58"/>
        <v>11.7</v>
      </c>
      <c r="H535" s="45">
        <f>+E535/41</f>
        <v>0.28536585365853656</v>
      </c>
      <c r="I535" s="46" t="s">
        <v>249</v>
      </c>
    </row>
    <row r="536" spans="1:9" ht="17.25" customHeight="1" x14ac:dyDescent="0.2">
      <c r="A536" s="44">
        <v>43539</v>
      </c>
      <c r="E536" s="45">
        <f t="shared" si="56"/>
        <v>11.7</v>
      </c>
      <c r="F536" s="45">
        <f t="shared" si="57"/>
        <v>3.5700000000000003</v>
      </c>
      <c r="G536" s="45">
        <f t="shared" si="58"/>
        <v>11.7</v>
      </c>
      <c r="H536" s="45">
        <f>+E536/41.3</f>
        <v>0.28329297820823246</v>
      </c>
      <c r="I536" s="45">
        <v>1.39</v>
      </c>
    </row>
    <row r="537" spans="1:9" ht="18.75" customHeight="1" x14ac:dyDescent="0.2">
      <c r="A537" s="44">
        <v>43546</v>
      </c>
      <c r="E537" s="45">
        <f t="shared" si="56"/>
        <v>11.7</v>
      </c>
      <c r="F537" s="45">
        <f t="shared" si="57"/>
        <v>3.5700000000000003</v>
      </c>
      <c r="G537" s="45">
        <f t="shared" si="58"/>
        <v>11.7</v>
      </c>
      <c r="H537" s="45">
        <f>+E537/40.8</f>
        <v>0.28676470588235292</v>
      </c>
      <c r="I537" s="46" t="s">
        <v>249</v>
      </c>
    </row>
    <row r="538" spans="1:9" ht="22.5" customHeight="1" x14ac:dyDescent="0.2">
      <c r="A538" s="44">
        <v>43553</v>
      </c>
      <c r="E538" s="45">
        <f t="shared" si="56"/>
        <v>11.7</v>
      </c>
      <c r="F538" s="45">
        <f t="shared" si="57"/>
        <v>3.5700000000000003</v>
      </c>
      <c r="G538" s="45">
        <f t="shared" si="58"/>
        <v>11.7</v>
      </c>
      <c r="H538" s="45">
        <f>+E538/43.6</f>
        <v>0.26834862385321101</v>
      </c>
      <c r="I538" s="46" t="s">
        <v>249</v>
      </c>
    </row>
    <row r="539" spans="1:9" ht="21.75" customHeight="1" x14ac:dyDescent="0.2">
      <c r="A539" s="44">
        <v>43560</v>
      </c>
      <c r="E539" s="45">
        <f t="shared" si="56"/>
        <v>11.7</v>
      </c>
      <c r="F539" s="45">
        <f t="shared" si="57"/>
        <v>3.5700000000000003</v>
      </c>
      <c r="G539" s="45">
        <f t="shared" si="58"/>
        <v>11.7</v>
      </c>
      <c r="H539" s="45">
        <f>+E539/42.9</f>
        <v>0.27272727272727271</v>
      </c>
      <c r="I539" s="46">
        <v>1.34</v>
      </c>
    </row>
    <row r="540" spans="1:9" ht="19.5" customHeight="1" x14ac:dyDescent="0.2">
      <c r="A540" s="44">
        <v>43567</v>
      </c>
      <c r="E540" s="45">
        <f t="shared" si="56"/>
        <v>11.7</v>
      </c>
      <c r="F540" s="45">
        <f t="shared" si="57"/>
        <v>3.5700000000000003</v>
      </c>
      <c r="G540" s="45">
        <f t="shared" si="58"/>
        <v>11.7</v>
      </c>
      <c r="H540" s="45">
        <f>+E540/43</f>
        <v>0.27209302325581392</v>
      </c>
      <c r="I540" s="46">
        <v>1.34</v>
      </c>
    </row>
    <row r="541" spans="1:9" ht="17.25" customHeight="1" x14ac:dyDescent="0.2">
      <c r="A541" s="44">
        <v>43572</v>
      </c>
      <c r="E541" s="45">
        <f t="shared" si="56"/>
        <v>11.7</v>
      </c>
      <c r="F541" s="45">
        <f t="shared" si="57"/>
        <v>3.5700000000000003</v>
      </c>
      <c r="G541" s="45">
        <f t="shared" si="58"/>
        <v>11.7</v>
      </c>
      <c r="H541" s="45">
        <f>+E541/41.8</f>
        <v>0.27990430622009571</v>
      </c>
      <c r="I541" s="46" t="s">
        <v>249</v>
      </c>
    </row>
    <row r="542" spans="1:9" ht="16.5" customHeight="1" x14ac:dyDescent="0.2">
      <c r="A542" s="44">
        <v>43581</v>
      </c>
      <c r="E542" s="45">
        <f t="shared" si="56"/>
        <v>11.7</v>
      </c>
      <c r="F542" s="45">
        <f t="shared" si="57"/>
        <v>3.5700000000000003</v>
      </c>
      <c r="G542" s="45">
        <f t="shared" si="58"/>
        <v>11.7</v>
      </c>
      <c r="H542" s="45">
        <f>+E542/45</f>
        <v>0.26</v>
      </c>
      <c r="I542" s="46" t="s">
        <v>249</v>
      </c>
    </row>
    <row r="543" spans="1:9" ht="19.5" customHeight="1" x14ac:dyDescent="0.2">
      <c r="A543" s="44">
        <v>43588</v>
      </c>
      <c r="E543" s="45">
        <f t="shared" si="56"/>
        <v>11.7</v>
      </c>
      <c r="F543" s="45">
        <f t="shared" si="57"/>
        <v>3.5700000000000003</v>
      </c>
      <c r="G543" s="45">
        <f t="shared" si="58"/>
        <v>11.7</v>
      </c>
      <c r="H543" s="45">
        <f>+E543/44.4</f>
        <v>0.26351351351351349</v>
      </c>
      <c r="I543" s="46" t="s">
        <v>249</v>
      </c>
    </row>
    <row r="544" spans="1:9" ht="18.75" customHeight="1" x14ac:dyDescent="0.2">
      <c r="A544" s="44">
        <v>43595</v>
      </c>
      <c r="E544" s="45">
        <f t="shared" si="56"/>
        <v>11.7</v>
      </c>
      <c r="F544" s="45">
        <f t="shared" si="57"/>
        <v>3.5700000000000003</v>
      </c>
      <c r="G544" s="45">
        <f t="shared" si="58"/>
        <v>11.7</v>
      </c>
      <c r="H544" s="45">
        <f>+E544/45</f>
        <v>0.26</v>
      </c>
      <c r="I544" s="46">
        <v>1.24</v>
      </c>
    </row>
    <row r="545" spans="1:9" ht="21" customHeight="1" x14ac:dyDescent="0.2">
      <c r="A545" s="44">
        <v>43602</v>
      </c>
      <c r="E545" s="45">
        <f t="shared" si="56"/>
        <v>11.7</v>
      </c>
      <c r="F545" s="45">
        <f t="shared" si="57"/>
        <v>3.5700000000000003</v>
      </c>
      <c r="G545" s="45">
        <f t="shared" si="58"/>
        <v>11.7</v>
      </c>
      <c r="H545" s="45">
        <f>+E545/45.3</f>
        <v>0.25827814569536423</v>
      </c>
      <c r="I545" s="46">
        <v>1.1399999999999999</v>
      </c>
    </row>
    <row r="546" spans="1:9" ht="18" customHeight="1" x14ac:dyDescent="0.2">
      <c r="A546" s="44">
        <v>43609</v>
      </c>
      <c r="E546" s="45">
        <f t="shared" si="56"/>
        <v>11.7</v>
      </c>
      <c r="F546" s="45">
        <f t="shared" si="57"/>
        <v>3.5700000000000003</v>
      </c>
      <c r="G546" s="45">
        <f t="shared" si="58"/>
        <v>11.7</v>
      </c>
      <c r="H546" s="45">
        <f>+E546/45.1</f>
        <v>0.25942350332594233</v>
      </c>
      <c r="I546" s="46" t="s">
        <v>249</v>
      </c>
    </row>
    <row r="547" spans="1:9" ht="18.75" customHeight="1" x14ac:dyDescent="0.2">
      <c r="A547" s="44">
        <v>43616</v>
      </c>
      <c r="E547" s="45">
        <f t="shared" si="56"/>
        <v>11.7</v>
      </c>
      <c r="F547" s="45">
        <f t="shared" si="57"/>
        <v>3.5700000000000003</v>
      </c>
      <c r="G547" s="45">
        <f t="shared" si="58"/>
        <v>11.7</v>
      </c>
      <c r="H547" s="45">
        <f>+E547/44.5</f>
        <v>0.26292134831460673</v>
      </c>
      <c r="I547" s="45">
        <v>1.1000000000000001</v>
      </c>
    </row>
    <row r="548" spans="1:9" ht="18" customHeight="1" x14ac:dyDescent="0.2">
      <c r="A548" s="44">
        <v>43623</v>
      </c>
      <c r="E548" s="45">
        <f t="shared" si="56"/>
        <v>11.7</v>
      </c>
      <c r="F548" s="45">
        <f t="shared" si="57"/>
        <v>3.5700000000000003</v>
      </c>
      <c r="G548" s="45">
        <f t="shared" si="58"/>
        <v>11.7</v>
      </c>
      <c r="H548" s="45">
        <f>+E548/44.9</f>
        <v>0.26057906458797325</v>
      </c>
      <c r="I548" s="45">
        <v>1.1000000000000001</v>
      </c>
    </row>
    <row r="549" spans="1:9" ht="18.75" customHeight="1" x14ac:dyDescent="0.2">
      <c r="A549" s="44">
        <v>43630</v>
      </c>
      <c r="E549" s="45">
        <f t="shared" si="56"/>
        <v>11.7</v>
      </c>
      <c r="F549" s="45">
        <f t="shared" si="57"/>
        <v>3.5700000000000003</v>
      </c>
      <c r="G549" s="45">
        <f t="shared" si="58"/>
        <v>11.7</v>
      </c>
      <c r="H549" s="45">
        <f>+E549/43.3</f>
        <v>0.2702078521939954</v>
      </c>
      <c r="I549" s="46" t="s">
        <v>249</v>
      </c>
    </row>
    <row r="550" spans="1:9" ht="17.25" customHeight="1" x14ac:dyDescent="0.2">
      <c r="A550" s="44">
        <v>43637</v>
      </c>
      <c r="E550" s="45">
        <f>+(11+10.4)/2</f>
        <v>10.7</v>
      </c>
      <c r="F550" s="45">
        <f>+(3+2.79+2.4+2.23)/4</f>
        <v>2.605</v>
      </c>
      <c r="G550" s="45">
        <f>+(11+10.4)/2</f>
        <v>10.7</v>
      </c>
      <c r="H550" s="45">
        <f>+E550/43.3</f>
        <v>0.24711316397228639</v>
      </c>
      <c r="I550" s="46" t="s">
        <v>249</v>
      </c>
    </row>
    <row r="551" spans="1:9" ht="17.25" customHeight="1" x14ac:dyDescent="0.2">
      <c r="A551" s="44">
        <v>43644</v>
      </c>
      <c r="E551" s="45">
        <f>+(11+10.4)/2</f>
        <v>10.7</v>
      </c>
      <c r="F551" s="45">
        <f>+(3+2.79+2.4+2.23)/4</f>
        <v>2.605</v>
      </c>
      <c r="G551" s="45">
        <f>+(11+10.4)/2</f>
        <v>10.7</v>
      </c>
      <c r="H551" s="45">
        <f>+E551/42.4</f>
        <v>0.25235849056603771</v>
      </c>
      <c r="I551" s="46">
        <v>1.1200000000000001</v>
      </c>
    </row>
    <row r="552" spans="1:9" ht="16.5" customHeight="1" x14ac:dyDescent="0.2">
      <c r="A552" s="44">
        <v>43651</v>
      </c>
      <c r="E552" s="45">
        <f>+(11+10.4)/2</f>
        <v>10.7</v>
      </c>
      <c r="F552" s="45">
        <f>+(3+2.79+2.4+2.23)/4</f>
        <v>2.605</v>
      </c>
      <c r="G552" s="45">
        <f>+(11+10.4)/2</f>
        <v>10.7</v>
      </c>
      <c r="H552" s="45">
        <f>+E552/41.8</f>
        <v>0.25598086124401914</v>
      </c>
      <c r="I552" s="46">
        <v>1.1200000000000001</v>
      </c>
    </row>
    <row r="553" spans="1:9" ht="17.25" customHeight="1" x14ac:dyDescent="0.2">
      <c r="A553" s="44">
        <v>43658</v>
      </c>
      <c r="E553" s="45">
        <f>+(10+9.4)/2</f>
        <v>9.6999999999999993</v>
      </c>
      <c r="F553" s="46" t="s">
        <v>249</v>
      </c>
      <c r="G553" s="45">
        <f>+(10+9.4)/2</f>
        <v>9.6999999999999993</v>
      </c>
      <c r="H553" s="45">
        <f>+E553/41.7</f>
        <v>0.23261390887290165</v>
      </c>
      <c r="I553" s="46" t="s">
        <v>249</v>
      </c>
    </row>
    <row r="554" spans="1:9" ht="18" customHeight="1" x14ac:dyDescent="0.2">
      <c r="A554" s="44">
        <v>43665</v>
      </c>
      <c r="E554" s="45">
        <f>+(10+9.4)/2</f>
        <v>9.6999999999999993</v>
      </c>
      <c r="F554" s="46" t="s">
        <v>249</v>
      </c>
      <c r="G554" s="45">
        <f>+(10+9.4)/2</f>
        <v>9.6999999999999993</v>
      </c>
      <c r="H554" s="45">
        <f>+E554/42.5</f>
        <v>0.22823529411764704</v>
      </c>
      <c r="I554" s="45">
        <v>1.2</v>
      </c>
    </row>
    <row r="555" spans="1:9" ht="18" customHeight="1" x14ac:dyDescent="0.2">
      <c r="A555" s="44">
        <v>43672</v>
      </c>
      <c r="E555" s="45">
        <f t="shared" ref="E555:E586" si="59">+(9+8.4)/2</f>
        <v>8.6999999999999993</v>
      </c>
      <c r="F555" s="46" t="s">
        <v>249</v>
      </c>
      <c r="G555" s="45">
        <f t="shared" ref="G555:G588" si="60">+(9+8.4)/2</f>
        <v>8.6999999999999993</v>
      </c>
      <c r="H555" s="45">
        <f>+E555/43.4</f>
        <v>0.20046082949308755</v>
      </c>
      <c r="I555" s="46" t="s">
        <v>249</v>
      </c>
    </row>
    <row r="556" spans="1:9" ht="18" customHeight="1" x14ac:dyDescent="0.2">
      <c r="A556" s="44">
        <v>43679</v>
      </c>
      <c r="E556" s="45">
        <f t="shared" si="59"/>
        <v>8.6999999999999993</v>
      </c>
      <c r="F556" s="46" t="s">
        <v>249</v>
      </c>
      <c r="G556" s="45">
        <f t="shared" si="60"/>
        <v>8.6999999999999993</v>
      </c>
      <c r="H556" s="45">
        <f>+E556/44.4</f>
        <v>0.19594594594594594</v>
      </c>
      <c r="I556" s="45">
        <v>1.24</v>
      </c>
    </row>
    <row r="557" spans="1:9" ht="15" customHeight="1" x14ac:dyDescent="0.2">
      <c r="A557" s="44">
        <v>43686</v>
      </c>
      <c r="E557" s="45">
        <f t="shared" si="59"/>
        <v>8.6999999999999993</v>
      </c>
      <c r="F557" s="46" t="s">
        <v>249</v>
      </c>
      <c r="G557" s="45">
        <f t="shared" si="60"/>
        <v>8.6999999999999993</v>
      </c>
      <c r="H557" s="45">
        <f>+E557/45.2</f>
        <v>0.19247787610619466</v>
      </c>
      <c r="I557" s="45">
        <v>1.21</v>
      </c>
    </row>
    <row r="558" spans="1:9" ht="17.25" customHeight="1" x14ac:dyDescent="0.2">
      <c r="A558" s="44">
        <v>43693</v>
      </c>
      <c r="E558" s="45">
        <f t="shared" si="59"/>
        <v>8.6999999999999993</v>
      </c>
      <c r="F558" s="46" t="s">
        <v>249</v>
      </c>
      <c r="G558" s="45">
        <f t="shared" si="60"/>
        <v>8.6999999999999993</v>
      </c>
      <c r="H558" s="45">
        <f>+E558/56.5</f>
        <v>0.15398230088495574</v>
      </c>
      <c r="I558" s="45">
        <v>1.23</v>
      </c>
    </row>
    <row r="559" spans="1:9" ht="17.25" customHeight="1" x14ac:dyDescent="0.2">
      <c r="A559" s="44">
        <v>43700</v>
      </c>
      <c r="E559" s="45">
        <f t="shared" si="59"/>
        <v>8.6999999999999993</v>
      </c>
      <c r="F559" s="46" t="s">
        <v>249</v>
      </c>
      <c r="G559" s="45">
        <f t="shared" si="60"/>
        <v>8.6999999999999993</v>
      </c>
      <c r="H559" s="45">
        <f>+E559/55</f>
        <v>0.15818181818181817</v>
      </c>
      <c r="I559" s="45">
        <v>1.27</v>
      </c>
    </row>
    <row r="560" spans="1:9" ht="17.25" customHeight="1" x14ac:dyDescent="0.2">
      <c r="A560" s="44">
        <v>43707</v>
      </c>
      <c r="E560" s="45">
        <f t="shared" si="59"/>
        <v>8.6999999999999993</v>
      </c>
      <c r="F560" s="46" t="s">
        <v>249</v>
      </c>
      <c r="G560" s="45">
        <f t="shared" si="60"/>
        <v>8.6999999999999993</v>
      </c>
      <c r="H560" s="45">
        <f>+E560/58</f>
        <v>0.15</v>
      </c>
      <c r="I560" s="45">
        <v>1.3</v>
      </c>
    </row>
    <row r="561" spans="1:9" ht="20.25" customHeight="1" x14ac:dyDescent="0.2">
      <c r="A561" s="44">
        <v>43714</v>
      </c>
      <c r="E561" s="45">
        <f t="shared" si="59"/>
        <v>8.6999999999999993</v>
      </c>
      <c r="F561" s="46" t="s">
        <v>249</v>
      </c>
      <c r="G561" s="45">
        <f t="shared" si="60"/>
        <v>8.6999999999999993</v>
      </c>
      <c r="H561" s="45">
        <f>+E561/56</f>
        <v>0.15535714285714283</v>
      </c>
      <c r="I561" s="46" t="s">
        <v>249</v>
      </c>
    </row>
    <row r="562" spans="1:9" ht="18.75" customHeight="1" x14ac:dyDescent="0.2">
      <c r="A562" s="44">
        <v>43721</v>
      </c>
      <c r="E562" s="45">
        <f t="shared" si="59"/>
        <v>8.6999999999999993</v>
      </c>
      <c r="F562" s="46" t="s">
        <v>249</v>
      </c>
      <c r="G562" s="45">
        <f t="shared" si="60"/>
        <v>8.6999999999999993</v>
      </c>
      <c r="H562" s="45">
        <f>+E562/56</f>
        <v>0.15535714285714283</v>
      </c>
      <c r="I562" s="46" t="s">
        <v>249</v>
      </c>
    </row>
    <row r="563" spans="1:9" ht="15.75" customHeight="1" x14ac:dyDescent="0.2">
      <c r="A563" s="44">
        <v>43728</v>
      </c>
      <c r="E563" s="45">
        <f t="shared" si="59"/>
        <v>8.6999999999999993</v>
      </c>
      <c r="F563" s="46" t="s">
        <v>249</v>
      </c>
      <c r="G563" s="45">
        <f t="shared" si="60"/>
        <v>8.6999999999999993</v>
      </c>
      <c r="H563" s="45">
        <f>+E563/56.6</f>
        <v>0.1537102473498233</v>
      </c>
      <c r="I563" s="46" t="s">
        <v>249</v>
      </c>
    </row>
    <row r="564" spans="1:9" ht="15.75" customHeight="1" x14ac:dyDescent="0.2">
      <c r="A564" s="44">
        <v>43735</v>
      </c>
      <c r="E564" s="45">
        <f t="shared" si="59"/>
        <v>8.6999999999999993</v>
      </c>
      <c r="F564" s="46" t="s">
        <v>249</v>
      </c>
      <c r="G564" s="45">
        <f t="shared" si="60"/>
        <v>8.6999999999999993</v>
      </c>
      <c r="H564" s="45">
        <f>+E564/57.5</f>
        <v>0.15130434782608695</v>
      </c>
      <c r="I564" s="46" t="s">
        <v>249</v>
      </c>
    </row>
    <row r="565" spans="1:9" ht="15.75" customHeight="1" x14ac:dyDescent="0.2">
      <c r="A565" s="44">
        <v>43742</v>
      </c>
      <c r="E565" s="45">
        <f t="shared" si="59"/>
        <v>8.6999999999999993</v>
      </c>
      <c r="F565" s="46" t="s">
        <v>249</v>
      </c>
      <c r="G565" s="45">
        <f t="shared" si="60"/>
        <v>8.6999999999999993</v>
      </c>
      <c r="H565" s="45">
        <f>+E565/57.8</f>
        <v>0.15051903114186851</v>
      </c>
      <c r="I565" s="46">
        <v>1.24</v>
      </c>
    </row>
    <row r="566" spans="1:9" ht="17.25" customHeight="1" x14ac:dyDescent="0.2">
      <c r="A566" s="44">
        <v>43749</v>
      </c>
      <c r="E566" s="45">
        <f t="shared" si="59"/>
        <v>8.6999999999999993</v>
      </c>
      <c r="F566" s="45" t="s">
        <v>249</v>
      </c>
      <c r="G566" s="45">
        <f t="shared" si="60"/>
        <v>8.6999999999999993</v>
      </c>
      <c r="H566" s="45">
        <f>+E566/57.8</f>
        <v>0.15051903114186851</v>
      </c>
      <c r="I566" s="46">
        <v>1.24</v>
      </c>
    </row>
    <row r="567" spans="1:9" ht="18" customHeight="1" x14ac:dyDescent="0.2">
      <c r="A567" s="44">
        <v>43756</v>
      </c>
      <c r="E567" s="45">
        <f t="shared" si="59"/>
        <v>8.6999999999999993</v>
      </c>
      <c r="F567" s="45" t="s">
        <v>249</v>
      </c>
      <c r="G567" s="45">
        <f t="shared" si="60"/>
        <v>8.6999999999999993</v>
      </c>
      <c r="H567" s="45">
        <f>+E567/58.3</f>
        <v>0.14922813036020582</v>
      </c>
      <c r="I567" s="46">
        <v>1.28</v>
      </c>
    </row>
    <row r="568" spans="1:9" ht="15.75" customHeight="1" x14ac:dyDescent="0.2">
      <c r="A568" s="44">
        <v>43763</v>
      </c>
      <c r="E568" s="45">
        <f t="shared" si="59"/>
        <v>8.6999999999999993</v>
      </c>
      <c r="F568" s="45" t="s">
        <v>249</v>
      </c>
      <c r="G568" s="45">
        <f t="shared" si="60"/>
        <v>8.6999999999999993</v>
      </c>
      <c r="H568" s="45">
        <f>+E568/60.75</f>
        <v>0.14320987654320985</v>
      </c>
      <c r="I568" s="46" t="s">
        <v>249</v>
      </c>
    </row>
    <row r="569" spans="1:9" ht="17.25" customHeight="1" x14ac:dyDescent="0.2">
      <c r="A569" s="44">
        <v>43770</v>
      </c>
      <c r="B569" s="47"/>
      <c r="C569" s="47"/>
      <c r="D569" s="47"/>
      <c r="E569" s="45">
        <f t="shared" si="59"/>
        <v>8.6999999999999993</v>
      </c>
      <c r="F569" s="45" t="s">
        <v>249</v>
      </c>
      <c r="G569" s="45">
        <f t="shared" si="60"/>
        <v>8.6999999999999993</v>
      </c>
      <c r="H569" s="45">
        <f>+E569/61</f>
        <v>0.14262295081967211</v>
      </c>
      <c r="I569" s="46" t="s">
        <v>249</v>
      </c>
    </row>
    <row r="570" spans="1:9" ht="20.25" customHeight="1" x14ac:dyDescent="0.2">
      <c r="A570" s="44">
        <v>43777</v>
      </c>
      <c r="B570" s="47"/>
      <c r="C570" s="47"/>
      <c r="D570" s="47"/>
      <c r="E570" s="45">
        <f t="shared" si="59"/>
        <v>8.6999999999999993</v>
      </c>
      <c r="F570" s="45" t="s">
        <v>249</v>
      </c>
      <c r="G570" s="45">
        <f t="shared" si="60"/>
        <v>8.6999999999999993</v>
      </c>
      <c r="H570" s="45">
        <f>+E570/60.5</f>
        <v>0.14380165289256197</v>
      </c>
      <c r="I570" s="46">
        <v>1.24</v>
      </c>
    </row>
    <row r="571" spans="1:9" ht="18" customHeight="1" x14ac:dyDescent="0.2">
      <c r="A571" s="44">
        <v>43784</v>
      </c>
      <c r="E571" s="45">
        <f t="shared" si="59"/>
        <v>8.6999999999999993</v>
      </c>
      <c r="F571" s="45" t="s">
        <v>249</v>
      </c>
      <c r="G571" s="45">
        <f t="shared" si="60"/>
        <v>8.6999999999999993</v>
      </c>
      <c r="H571" s="45">
        <f>+E571/60.25</f>
        <v>0.14439834024896264</v>
      </c>
      <c r="I571" s="46">
        <v>1.26</v>
      </c>
    </row>
    <row r="572" spans="1:9" ht="17.25" customHeight="1" x14ac:dyDescent="0.2">
      <c r="A572" s="44">
        <v>43791</v>
      </c>
      <c r="E572" s="45">
        <f t="shared" si="59"/>
        <v>8.6999999999999993</v>
      </c>
      <c r="F572" s="45" t="s">
        <v>249</v>
      </c>
      <c r="G572" s="45">
        <f t="shared" si="60"/>
        <v>8.6999999999999993</v>
      </c>
      <c r="H572" s="45">
        <f>+E572/60</f>
        <v>0.14499999999999999</v>
      </c>
      <c r="I572" s="46">
        <v>1.26</v>
      </c>
    </row>
    <row r="573" spans="1:9" ht="18" customHeight="1" x14ac:dyDescent="0.2">
      <c r="A573" s="44">
        <v>43798</v>
      </c>
      <c r="E573" s="45">
        <f t="shared" si="59"/>
        <v>8.6999999999999993</v>
      </c>
      <c r="F573" s="45" t="s">
        <v>249</v>
      </c>
      <c r="G573" s="45">
        <f t="shared" si="60"/>
        <v>8.6999999999999993</v>
      </c>
      <c r="H573" s="45">
        <f>+E573/60</f>
        <v>0.14499999999999999</v>
      </c>
      <c r="I573" s="46" t="s">
        <v>249</v>
      </c>
    </row>
    <row r="574" spans="1:9" ht="18" customHeight="1" x14ac:dyDescent="0.2">
      <c r="A574" s="44">
        <v>43805</v>
      </c>
      <c r="E574" s="45">
        <f t="shared" si="59"/>
        <v>8.6999999999999993</v>
      </c>
      <c r="F574" s="45" t="s">
        <v>249</v>
      </c>
      <c r="G574" s="45">
        <f t="shared" si="60"/>
        <v>8.6999999999999993</v>
      </c>
      <c r="H574" s="45">
        <f>+E574/60</f>
        <v>0.14499999999999999</v>
      </c>
      <c r="I574" s="46">
        <v>1.26</v>
      </c>
    </row>
    <row r="575" spans="1:9" ht="20.25" customHeight="1" x14ac:dyDescent="0.2">
      <c r="A575" s="44">
        <v>43812</v>
      </c>
      <c r="E575" s="45">
        <f t="shared" si="59"/>
        <v>8.6999999999999993</v>
      </c>
      <c r="F575" s="45" t="s">
        <v>249</v>
      </c>
      <c r="G575" s="45">
        <f t="shared" si="60"/>
        <v>8.6999999999999993</v>
      </c>
      <c r="H575" s="45">
        <f t="shared" ref="H575:H582" si="61">+E575/60.5</f>
        <v>0.14380165289256197</v>
      </c>
      <c r="I575" s="46">
        <v>1.26</v>
      </c>
    </row>
    <row r="576" spans="1:9" ht="21.75" customHeight="1" x14ac:dyDescent="0.2">
      <c r="A576" s="44">
        <v>43819</v>
      </c>
      <c r="E576" s="45">
        <f t="shared" si="59"/>
        <v>8.6999999999999993</v>
      </c>
      <c r="F576" s="45" t="s">
        <v>249</v>
      </c>
      <c r="G576" s="45">
        <f t="shared" si="60"/>
        <v>8.6999999999999993</v>
      </c>
      <c r="H576" s="45">
        <f t="shared" si="61"/>
        <v>0.14380165289256197</v>
      </c>
      <c r="I576" s="46">
        <v>1.24</v>
      </c>
    </row>
    <row r="577" spans="1:9" ht="20.25" customHeight="1" x14ac:dyDescent="0.2">
      <c r="A577" s="44">
        <v>43826</v>
      </c>
      <c r="E577" s="45">
        <f t="shared" si="59"/>
        <v>8.6999999999999993</v>
      </c>
      <c r="F577" s="45" t="s">
        <v>249</v>
      </c>
      <c r="G577" s="45">
        <f t="shared" si="60"/>
        <v>8.6999999999999993</v>
      </c>
      <c r="H577" s="45">
        <f t="shared" si="61"/>
        <v>0.14380165289256197</v>
      </c>
      <c r="I577" s="45">
        <v>1.2</v>
      </c>
    </row>
    <row r="578" spans="1:9" ht="21" customHeight="1" x14ac:dyDescent="0.2">
      <c r="A578" s="40">
        <v>43833</v>
      </c>
      <c r="B578" s="48"/>
      <c r="C578" s="48"/>
      <c r="D578" s="48"/>
      <c r="E578" s="39">
        <f t="shared" si="59"/>
        <v>8.6999999999999993</v>
      </c>
      <c r="F578" s="39" t="s">
        <v>249</v>
      </c>
      <c r="G578" s="39">
        <f t="shared" si="60"/>
        <v>8.6999999999999993</v>
      </c>
      <c r="H578" s="39">
        <f t="shared" si="61"/>
        <v>0.14380165289256197</v>
      </c>
      <c r="I578" s="39">
        <v>1.1499999999999999</v>
      </c>
    </row>
    <row r="579" spans="1:9" ht="21.75" customHeight="1" x14ac:dyDescent="0.2">
      <c r="A579" s="40">
        <v>43840</v>
      </c>
      <c r="B579" s="48"/>
      <c r="C579" s="48"/>
      <c r="D579" s="48"/>
      <c r="E579" s="39">
        <f t="shared" si="59"/>
        <v>8.6999999999999993</v>
      </c>
      <c r="F579" s="39" t="s">
        <v>249</v>
      </c>
      <c r="G579" s="39">
        <f t="shared" si="60"/>
        <v>8.6999999999999993</v>
      </c>
      <c r="H579" s="39">
        <f t="shared" si="61"/>
        <v>0.14380165289256197</v>
      </c>
      <c r="I579" s="41" t="s">
        <v>249</v>
      </c>
    </row>
    <row r="580" spans="1:9" ht="19.5" customHeight="1" x14ac:dyDescent="0.2">
      <c r="A580" s="40">
        <v>43847</v>
      </c>
      <c r="B580" s="48"/>
      <c r="C580" s="48"/>
      <c r="D580" s="48"/>
      <c r="E580" s="39">
        <f t="shared" si="59"/>
        <v>8.6999999999999993</v>
      </c>
      <c r="F580" s="39" t="s">
        <v>249</v>
      </c>
      <c r="G580" s="39">
        <f t="shared" si="60"/>
        <v>8.6999999999999993</v>
      </c>
      <c r="H580" s="39">
        <f t="shared" si="61"/>
        <v>0.14380165289256197</v>
      </c>
      <c r="I580" s="41" t="s">
        <v>249</v>
      </c>
    </row>
    <row r="581" spans="1:9" ht="19.5" customHeight="1" x14ac:dyDescent="0.2">
      <c r="A581" s="40">
        <v>43854</v>
      </c>
      <c r="B581" s="48"/>
      <c r="C581" s="48"/>
      <c r="D581" s="48"/>
      <c r="E581" s="39">
        <f t="shared" si="59"/>
        <v>8.6999999999999993</v>
      </c>
      <c r="F581" s="39" t="s">
        <v>249</v>
      </c>
      <c r="G581" s="39">
        <f t="shared" si="60"/>
        <v>8.6999999999999993</v>
      </c>
      <c r="H581" s="39">
        <f t="shared" si="61"/>
        <v>0.14380165289256197</v>
      </c>
      <c r="I581" s="41" t="s">
        <v>249</v>
      </c>
    </row>
    <row r="582" spans="1:9" ht="20.25" customHeight="1" x14ac:dyDescent="0.2">
      <c r="A582" s="40">
        <v>43861</v>
      </c>
      <c r="B582" s="48"/>
      <c r="C582" s="48"/>
      <c r="D582" s="48"/>
      <c r="E582" s="39">
        <f t="shared" si="59"/>
        <v>8.6999999999999993</v>
      </c>
      <c r="F582" s="39" t="s">
        <v>249</v>
      </c>
      <c r="G582" s="39">
        <f t="shared" si="60"/>
        <v>8.6999999999999993</v>
      </c>
      <c r="H582" s="39">
        <f t="shared" si="61"/>
        <v>0.14380165289256197</v>
      </c>
      <c r="I582" s="41">
        <v>1.25</v>
      </c>
    </row>
    <row r="583" spans="1:9" ht="23.25" customHeight="1" x14ac:dyDescent="0.2">
      <c r="A583" s="40">
        <v>43868</v>
      </c>
      <c r="B583" s="48"/>
      <c r="C583" s="48"/>
      <c r="D583" s="48"/>
      <c r="E583" s="39">
        <f t="shared" si="59"/>
        <v>8.6999999999999993</v>
      </c>
      <c r="F583" s="39" t="s">
        <v>249</v>
      </c>
      <c r="G583" s="39">
        <f t="shared" si="60"/>
        <v>8.6999999999999993</v>
      </c>
      <c r="H583" s="39">
        <f>+E583/60.5</f>
        <v>0.14380165289256197</v>
      </c>
      <c r="I583" s="41" t="s">
        <v>249</v>
      </c>
    </row>
    <row r="584" spans="1:9" ht="20.25" customHeight="1" x14ac:dyDescent="0.2">
      <c r="A584" s="40">
        <v>43875</v>
      </c>
      <c r="B584" s="48"/>
      <c r="C584" s="48"/>
      <c r="D584" s="48"/>
      <c r="E584" s="39">
        <f t="shared" si="59"/>
        <v>8.6999999999999993</v>
      </c>
      <c r="F584" s="39" t="s">
        <v>249</v>
      </c>
      <c r="G584" s="39">
        <f t="shared" si="60"/>
        <v>8.6999999999999993</v>
      </c>
      <c r="H584" s="39">
        <f>+E584/60.8</f>
        <v>0.14309210526315788</v>
      </c>
      <c r="I584" s="41" t="s">
        <v>249</v>
      </c>
    </row>
    <row r="585" spans="1:9" ht="21.75" customHeight="1" x14ac:dyDescent="0.2">
      <c r="A585" s="40">
        <v>43882</v>
      </c>
      <c r="B585" s="48"/>
      <c r="C585" s="48"/>
      <c r="D585" s="48"/>
      <c r="E585" s="39">
        <f t="shared" si="59"/>
        <v>8.6999999999999993</v>
      </c>
      <c r="F585" s="39" t="s">
        <v>249</v>
      </c>
      <c r="G585" s="39">
        <f t="shared" si="60"/>
        <v>8.6999999999999993</v>
      </c>
      <c r="H585" s="39">
        <f>+E585/61</f>
        <v>0.14262295081967211</v>
      </c>
      <c r="I585" s="41" t="s">
        <v>249</v>
      </c>
    </row>
    <row r="586" spans="1:9" ht="18.75" customHeight="1" x14ac:dyDescent="0.2">
      <c r="A586" s="40">
        <v>43889</v>
      </c>
      <c r="B586" s="48"/>
      <c r="C586" s="48"/>
      <c r="D586" s="48"/>
      <c r="E586" s="39">
        <f t="shared" si="59"/>
        <v>8.6999999999999993</v>
      </c>
      <c r="F586" s="39" t="s">
        <v>249</v>
      </c>
      <c r="G586" s="39">
        <f t="shared" si="60"/>
        <v>8.6999999999999993</v>
      </c>
      <c r="H586" s="39">
        <f>+E586/61.25</f>
        <v>0.14204081632653059</v>
      </c>
      <c r="I586" s="41">
        <v>1.17</v>
      </c>
    </row>
    <row r="587" spans="1:9" ht="23.25" customHeight="1" x14ac:dyDescent="0.2">
      <c r="A587" s="40">
        <v>43896</v>
      </c>
      <c r="B587" s="48"/>
      <c r="C587" s="48"/>
      <c r="D587" s="48"/>
      <c r="E587" s="39">
        <f>+(10+9.4)/2</f>
        <v>9.6999999999999993</v>
      </c>
      <c r="F587" s="39" t="s">
        <v>249</v>
      </c>
      <c r="G587" s="39">
        <f t="shared" si="60"/>
        <v>8.6999999999999993</v>
      </c>
      <c r="H587" s="39">
        <f>+E587/61.4</f>
        <v>0.15798045602605862</v>
      </c>
      <c r="I587" s="39">
        <v>1</v>
      </c>
    </row>
    <row r="588" spans="1:9" ht="21.75" customHeight="1" x14ac:dyDescent="0.2">
      <c r="A588" s="40">
        <v>43903</v>
      </c>
      <c r="B588" s="48"/>
      <c r="C588" s="48"/>
      <c r="D588" s="48"/>
      <c r="E588" s="39">
        <f>+(10+9.4)/2</f>
        <v>9.6999999999999993</v>
      </c>
      <c r="F588" s="39" t="s">
        <v>249</v>
      </c>
      <c r="G588" s="39">
        <f t="shared" si="60"/>
        <v>8.6999999999999993</v>
      </c>
      <c r="H588" s="39">
        <f>+E588/62</f>
        <v>0.15645161290322579</v>
      </c>
      <c r="I588" s="39">
        <v>1.05</v>
      </c>
    </row>
    <row r="589" spans="1:9" ht="23.25" customHeight="1" x14ac:dyDescent="0.2">
      <c r="A589" s="40">
        <v>43910</v>
      </c>
      <c r="E589" s="39" t="s">
        <v>249</v>
      </c>
      <c r="F589" s="39" t="s">
        <v>249</v>
      </c>
      <c r="G589" s="39" t="s">
        <v>249</v>
      </c>
      <c r="H589" s="39" t="s">
        <v>249</v>
      </c>
      <c r="I589" s="39">
        <v>1.08</v>
      </c>
    </row>
    <row r="590" spans="1:9" ht="16.5" customHeight="1" x14ac:dyDescent="0.2">
      <c r="A590" s="40">
        <v>43917</v>
      </c>
      <c r="E590" s="39" t="s">
        <v>249</v>
      </c>
      <c r="F590" s="39" t="s">
        <v>249</v>
      </c>
      <c r="G590" s="39" t="s">
        <v>249</v>
      </c>
      <c r="H590" s="39" t="s">
        <v>249</v>
      </c>
      <c r="I590" s="39" t="s">
        <v>249</v>
      </c>
    </row>
    <row r="591" spans="1:9" ht="16.5" customHeight="1" x14ac:dyDescent="0.2">
      <c r="A591" s="40">
        <v>43924</v>
      </c>
      <c r="E591" s="39" t="s">
        <v>249</v>
      </c>
      <c r="F591" s="39" t="s">
        <v>249</v>
      </c>
      <c r="G591" s="39" t="s">
        <v>249</v>
      </c>
      <c r="H591" s="39" t="s">
        <v>249</v>
      </c>
      <c r="I591" s="39" t="s">
        <v>249</v>
      </c>
    </row>
    <row r="592" spans="1:9" ht="16.5" customHeight="1" x14ac:dyDescent="0.2">
      <c r="A592" s="40">
        <v>43930</v>
      </c>
      <c r="E592" s="39" t="s">
        <v>249</v>
      </c>
      <c r="F592" s="39" t="s">
        <v>249</v>
      </c>
      <c r="G592" s="39" t="s">
        <v>249</v>
      </c>
      <c r="H592" s="39" t="s">
        <v>249</v>
      </c>
      <c r="I592" s="39">
        <v>0.54</v>
      </c>
    </row>
    <row r="593" spans="1:9" ht="16.5" customHeight="1" x14ac:dyDescent="0.2">
      <c r="A593" s="40">
        <v>43938</v>
      </c>
      <c r="E593" s="39" t="s">
        <v>249</v>
      </c>
      <c r="F593" s="39" t="s">
        <v>249</v>
      </c>
      <c r="G593" s="39" t="s">
        <v>249</v>
      </c>
      <c r="H593" s="39" t="s">
        <v>249</v>
      </c>
      <c r="I593" s="39">
        <v>0.54</v>
      </c>
    </row>
    <row r="594" spans="1:9" ht="16.5" customHeight="1" x14ac:dyDescent="0.2">
      <c r="A594" s="40">
        <v>43945</v>
      </c>
      <c r="E594" s="39" t="s">
        <v>249</v>
      </c>
      <c r="F594" s="39" t="s">
        <v>249</v>
      </c>
      <c r="G594" s="39" t="s">
        <v>249</v>
      </c>
      <c r="H594" s="39" t="s">
        <v>249</v>
      </c>
      <c r="I594" s="39">
        <v>0.54</v>
      </c>
    </row>
    <row r="595" spans="1:9" ht="16.5" customHeight="1" x14ac:dyDescent="0.2">
      <c r="A595" s="40">
        <v>43951</v>
      </c>
      <c r="E595" s="39" t="s">
        <v>249</v>
      </c>
      <c r="F595" s="39" t="s">
        <v>249</v>
      </c>
      <c r="G595" s="39" t="s">
        <v>249</v>
      </c>
      <c r="H595" s="39" t="s">
        <v>249</v>
      </c>
      <c r="I595" s="39" t="s">
        <v>249</v>
      </c>
    </row>
    <row r="596" spans="1:9" ht="16.5" customHeight="1" x14ac:dyDescent="0.2">
      <c r="A596" s="40">
        <v>43959</v>
      </c>
      <c r="E596" s="39" t="s">
        <v>249</v>
      </c>
      <c r="F596" s="39" t="s">
        <v>249</v>
      </c>
      <c r="G596" s="39" t="s">
        <v>249</v>
      </c>
      <c r="H596" s="39" t="s">
        <v>249</v>
      </c>
      <c r="I596" s="39">
        <v>0.65</v>
      </c>
    </row>
    <row r="597" spans="1:9" ht="16.5" customHeight="1" x14ac:dyDescent="0.2">
      <c r="A597" s="40">
        <v>43966</v>
      </c>
      <c r="E597" s="39" t="s">
        <v>249</v>
      </c>
      <c r="F597" s="39" t="s">
        <v>249</v>
      </c>
      <c r="G597" s="39" t="s">
        <v>249</v>
      </c>
      <c r="H597" s="39" t="s">
        <v>249</v>
      </c>
      <c r="I597" s="39">
        <v>0.68</v>
      </c>
    </row>
    <row r="598" spans="1:9" ht="15" customHeight="1" x14ac:dyDescent="0.2">
      <c r="A598" s="40">
        <v>43973</v>
      </c>
      <c r="E598" s="39" t="s">
        <v>249</v>
      </c>
      <c r="F598" s="39" t="s">
        <v>249</v>
      </c>
      <c r="G598" s="39" t="s">
        <v>249</v>
      </c>
      <c r="H598" s="39" t="s">
        <v>249</v>
      </c>
      <c r="I598" s="39">
        <v>0.73</v>
      </c>
    </row>
    <row r="599" spans="1:9" ht="18.75" customHeight="1" x14ac:dyDescent="0.2">
      <c r="A599" s="40">
        <v>43980</v>
      </c>
      <c r="E599" s="39" t="s">
        <v>249</v>
      </c>
      <c r="F599" s="39" t="s">
        <v>249</v>
      </c>
      <c r="G599" s="39" t="s">
        <v>249</v>
      </c>
      <c r="H599" s="39" t="s">
        <v>249</v>
      </c>
      <c r="I599" s="39" t="s">
        <v>249</v>
      </c>
    </row>
    <row r="600" spans="1:9" ht="16.5" customHeight="1" x14ac:dyDescent="0.2">
      <c r="A600" s="40">
        <v>43987</v>
      </c>
      <c r="E600" s="39" t="s">
        <v>249</v>
      </c>
      <c r="F600" s="39" t="s">
        <v>249</v>
      </c>
      <c r="G600" s="39" t="s">
        <v>249</v>
      </c>
      <c r="H600" s="39" t="s">
        <v>249</v>
      </c>
      <c r="I600" s="39">
        <v>0.73</v>
      </c>
    </row>
    <row r="601" spans="1:9" ht="17.25" customHeight="1" x14ac:dyDescent="0.2">
      <c r="A601" s="40">
        <v>43994</v>
      </c>
      <c r="E601" s="39" t="s">
        <v>249</v>
      </c>
      <c r="F601" s="39" t="s">
        <v>249</v>
      </c>
      <c r="G601" s="39" t="s">
        <v>249</v>
      </c>
      <c r="H601" s="39" t="s">
        <v>249</v>
      </c>
      <c r="I601" s="39">
        <v>0.77</v>
      </c>
    </row>
    <row r="602" spans="1:9" ht="17.25" customHeight="1" x14ac:dyDescent="0.2">
      <c r="A602" s="40">
        <v>44001</v>
      </c>
      <c r="E602" s="39" t="s">
        <v>249</v>
      </c>
      <c r="F602" s="39" t="s">
        <v>249</v>
      </c>
      <c r="G602" s="39" t="s">
        <v>249</v>
      </c>
      <c r="H602" s="39" t="s">
        <v>249</v>
      </c>
      <c r="I602" s="39" t="s">
        <v>249</v>
      </c>
    </row>
    <row r="603" spans="1:9" ht="17.25" customHeight="1" x14ac:dyDescent="0.2">
      <c r="A603" s="40">
        <v>44008</v>
      </c>
      <c r="E603" s="39" t="s">
        <v>249</v>
      </c>
      <c r="F603" s="39" t="s">
        <v>249</v>
      </c>
      <c r="G603" s="39" t="s">
        <v>249</v>
      </c>
      <c r="H603" s="39" t="s">
        <v>249</v>
      </c>
      <c r="I603" s="39" t="s">
        <v>249</v>
      </c>
    </row>
    <row r="604" spans="1:9" ht="15.75" customHeight="1" x14ac:dyDescent="0.2">
      <c r="A604" s="40">
        <v>44015</v>
      </c>
      <c r="E604" s="39" t="s">
        <v>249</v>
      </c>
      <c r="F604" s="39" t="s">
        <v>249</v>
      </c>
      <c r="G604" s="39" t="s">
        <v>249</v>
      </c>
      <c r="H604" s="39" t="s">
        <v>249</v>
      </c>
      <c r="I604" s="39" t="s">
        <v>249</v>
      </c>
    </row>
    <row r="605" spans="1:9" ht="15.75" customHeight="1" x14ac:dyDescent="0.2">
      <c r="A605" s="40">
        <v>44020</v>
      </c>
      <c r="E605" s="39" t="s">
        <v>249</v>
      </c>
      <c r="F605" s="39" t="s">
        <v>249</v>
      </c>
      <c r="G605" s="39" t="s">
        <v>249</v>
      </c>
      <c r="H605" s="39" t="s">
        <v>249</v>
      </c>
      <c r="I605" s="39" t="s">
        <v>249</v>
      </c>
    </row>
    <row r="606" spans="1:9" ht="15.75" customHeight="1" x14ac:dyDescent="0.2">
      <c r="A606" s="40">
        <v>44029</v>
      </c>
      <c r="E606" s="39" t="s">
        <v>249</v>
      </c>
      <c r="F606" s="39" t="s">
        <v>249</v>
      </c>
      <c r="G606" s="39" t="s">
        <v>249</v>
      </c>
      <c r="H606" s="39" t="s">
        <v>249</v>
      </c>
      <c r="I606" s="39">
        <v>0.79</v>
      </c>
    </row>
    <row r="607" spans="1:9" ht="15" customHeight="1" x14ac:dyDescent="0.2">
      <c r="A607" s="40">
        <v>44036</v>
      </c>
      <c r="E607" s="39" t="s">
        <v>249</v>
      </c>
      <c r="F607" s="39" t="s">
        <v>249</v>
      </c>
      <c r="G607" s="39" t="s">
        <v>249</v>
      </c>
      <c r="H607" s="39" t="s">
        <v>249</v>
      </c>
      <c r="I607" s="39" t="s">
        <v>249</v>
      </c>
    </row>
    <row r="608" spans="1:9" ht="15.75" customHeight="1" x14ac:dyDescent="0.2">
      <c r="A608" s="40">
        <v>44043</v>
      </c>
      <c r="E608" s="39" t="s">
        <v>249</v>
      </c>
      <c r="F608" s="39" t="s">
        <v>249</v>
      </c>
      <c r="G608" s="39" t="s">
        <v>249</v>
      </c>
      <c r="H608" s="39" t="s">
        <v>249</v>
      </c>
      <c r="I608" s="39">
        <v>0.81</v>
      </c>
    </row>
    <row r="609" spans="1:9" ht="18" customHeight="1" x14ac:dyDescent="0.2">
      <c r="A609" s="40">
        <v>44050</v>
      </c>
      <c r="E609" s="39" t="s">
        <v>249</v>
      </c>
      <c r="F609" s="39" t="s">
        <v>249</v>
      </c>
      <c r="G609" s="39" t="s">
        <v>249</v>
      </c>
      <c r="H609" s="39" t="s">
        <v>249</v>
      </c>
      <c r="I609" s="39">
        <v>0.84</v>
      </c>
    </row>
    <row r="610" spans="1:9" ht="18" customHeight="1" x14ac:dyDescent="0.2">
      <c r="A610" s="40">
        <v>44057</v>
      </c>
      <c r="E610" s="39" t="s">
        <v>249</v>
      </c>
      <c r="F610" s="39" t="s">
        <v>249</v>
      </c>
      <c r="G610" s="39" t="s">
        <v>249</v>
      </c>
      <c r="H610" s="39" t="s">
        <v>249</v>
      </c>
      <c r="I610" s="39">
        <v>0.84</v>
      </c>
    </row>
    <row r="611" spans="1:9" ht="19.5" customHeight="1" x14ac:dyDescent="0.2">
      <c r="A611" s="40">
        <v>44064</v>
      </c>
      <c r="E611" s="39" t="s">
        <v>249</v>
      </c>
      <c r="F611" s="39" t="s">
        <v>249</v>
      </c>
      <c r="G611" s="39" t="s">
        <v>249</v>
      </c>
      <c r="H611" s="39" t="s">
        <v>249</v>
      </c>
      <c r="I611" s="39">
        <v>0.9</v>
      </c>
    </row>
    <row r="612" spans="1:9" ht="22.5" customHeight="1" x14ac:dyDescent="0.2">
      <c r="A612" s="40">
        <v>44071</v>
      </c>
      <c r="E612" s="39" t="s">
        <v>249</v>
      </c>
      <c r="F612" s="39" t="s">
        <v>249</v>
      </c>
      <c r="G612" s="39" t="s">
        <v>249</v>
      </c>
      <c r="H612" s="39" t="s">
        <v>249</v>
      </c>
      <c r="I612" s="39">
        <v>0.9</v>
      </c>
    </row>
    <row r="613" spans="1:9" ht="20.25" customHeight="1" x14ac:dyDescent="0.2">
      <c r="A613" s="40">
        <v>44078</v>
      </c>
      <c r="E613" s="39" t="s">
        <v>249</v>
      </c>
      <c r="F613" s="39" t="s">
        <v>249</v>
      </c>
      <c r="G613" s="39" t="s">
        <v>249</v>
      </c>
      <c r="H613" s="39" t="s">
        <v>249</v>
      </c>
      <c r="I613" s="39">
        <v>0.9</v>
      </c>
    </row>
    <row r="614" spans="1:9" ht="17.25" customHeight="1" x14ac:dyDescent="0.2">
      <c r="A614" s="40">
        <v>44092</v>
      </c>
      <c r="E614" s="39" t="s">
        <v>249</v>
      </c>
      <c r="F614" s="39" t="s">
        <v>249</v>
      </c>
      <c r="G614" s="39" t="s">
        <v>249</v>
      </c>
      <c r="H614" s="39" t="s">
        <v>249</v>
      </c>
      <c r="I614" s="39">
        <v>0.93</v>
      </c>
    </row>
    <row r="615" spans="1:9" ht="24" customHeight="1" x14ac:dyDescent="0.2">
      <c r="A615" s="40">
        <v>44099</v>
      </c>
      <c r="E615" s="39" t="s">
        <v>249</v>
      </c>
      <c r="F615" s="39" t="s">
        <v>249</v>
      </c>
      <c r="G615" s="39" t="s">
        <v>249</v>
      </c>
      <c r="H615" s="39" t="s">
        <v>249</v>
      </c>
      <c r="I615" s="39" t="s">
        <v>249</v>
      </c>
    </row>
    <row r="616" spans="1:9" ht="22.5" customHeight="1" x14ac:dyDescent="0.2">
      <c r="A616" s="40">
        <v>44106</v>
      </c>
      <c r="E616" s="39" t="s">
        <v>249</v>
      </c>
      <c r="F616" s="39" t="s">
        <v>249</v>
      </c>
      <c r="G616" s="39" t="s">
        <v>249</v>
      </c>
      <c r="H616" s="39" t="s">
        <v>249</v>
      </c>
      <c r="I616" s="39">
        <v>1.07</v>
      </c>
    </row>
    <row r="617" spans="1:9" ht="20.25" customHeight="1" x14ac:dyDescent="0.2">
      <c r="A617" s="40">
        <v>44113</v>
      </c>
      <c r="E617" s="39" t="s">
        <v>249</v>
      </c>
      <c r="F617" s="39" t="s">
        <v>249</v>
      </c>
      <c r="G617" s="39" t="s">
        <v>249</v>
      </c>
      <c r="H617" s="39" t="s">
        <v>249</v>
      </c>
      <c r="I617" s="39" t="s">
        <v>249</v>
      </c>
    </row>
    <row r="618" spans="1:9" ht="19.5" customHeight="1" x14ac:dyDescent="0.2">
      <c r="A618" s="40">
        <v>44120</v>
      </c>
      <c r="E618" s="39" t="s">
        <v>249</v>
      </c>
      <c r="F618" s="39" t="s">
        <v>249</v>
      </c>
      <c r="G618" s="39" t="s">
        <v>249</v>
      </c>
      <c r="H618" s="39" t="s">
        <v>249</v>
      </c>
      <c r="I618" s="39">
        <v>1.1299999999999999</v>
      </c>
    </row>
    <row r="619" spans="1:9" ht="21" customHeight="1" x14ac:dyDescent="0.2">
      <c r="A619" s="40">
        <v>44127</v>
      </c>
      <c r="E619" s="39" t="s">
        <v>249</v>
      </c>
      <c r="F619" s="39" t="s">
        <v>249</v>
      </c>
      <c r="G619" s="39" t="s">
        <v>249</v>
      </c>
      <c r="H619" s="39" t="s">
        <v>249</v>
      </c>
      <c r="I619" s="39">
        <v>1.08</v>
      </c>
    </row>
    <row r="620" spans="1:9" ht="21.75" customHeight="1" x14ac:dyDescent="0.2">
      <c r="A620" s="40">
        <v>44134</v>
      </c>
      <c r="E620" s="39">
        <f>+(12+10)/2</f>
        <v>11</v>
      </c>
      <c r="F620" s="39" t="s">
        <v>249</v>
      </c>
      <c r="G620" s="39">
        <f>+(12+10)/2</f>
        <v>11</v>
      </c>
      <c r="H620" s="39">
        <f>+E620/80.5</f>
        <v>0.13664596273291926</v>
      </c>
      <c r="I620" s="39">
        <v>1.08</v>
      </c>
    </row>
    <row r="621" spans="1:9" ht="23.25" customHeight="1" x14ac:dyDescent="0.2">
      <c r="A621" s="40">
        <v>44141</v>
      </c>
      <c r="E621" s="39">
        <f>+(12+10)/2</f>
        <v>11</v>
      </c>
      <c r="F621" s="39" t="s">
        <v>249</v>
      </c>
      <c r="G621" s="39">
        <f>+(12+10)/2</f>
        <v>11</v>
      </c>
      <c r="H621" s="39">
        <f>+E621/81.25</f>
        <v>0.13538461538461538</v>
      </c>
      <c r="I621" s="39">
        <v>1.1000000000000001</v>
      </c>
    </row>
    <row r="622" spans="1:9" ht="25.5" customHeight="1" x14ac:dyDescent="0.2">
      <c r="A622" s="40">
        <v>44148</v>
      </c>
      <c r="E622" s="39">
        <f>+(15+14)/2</f>
        <v>14.5</v>
      </c>
      <c r="F622" s="39">
        <f>+(5+4.65+4+3.72)/4</f>
        <v>4.3425000000000002</v>
      </c>
      <c r="G622" s="39">
        <f>+(14+13)/2</f>
        <v>13.5</v>
      </c>
      <c r="H622" s="39">
        <f>+E622/82</f>
        <v>0.17682926829268292</v>
      </c>
      <c r="I622" s="39">
        <v>1.2</v>
      </c>
    </row>
    <row r="623" spans="1:9" ht="19.5" customHeight="1" x14ac:dyDescent="0.2">
      <c r="A623" s="40">
        <v>44155</v>
      </c>
      <c r="E623" s="39">
        <f>+(15+14)/2</f>
        <v>14.5</v>
      </c>
      <c r="F623" s="39">
        <f>+(5+4.65+4+3.72)/4</f>
        <v>4.3425000000000002</v>
      </c>
      <c r="G623" s="39">
        <f>+(14+13)/2</f>
        <v>13.5</v>
      </c>
      <c r="H623" s="39">
        <f>+E623/82.5</f>
        <v>0.17575757575757575</v>
      </c>
      <c r="I623" s="39">
        <v>1.21</v>
      </c>
    </row>
    <row r="624" spans="1:9" ht="18.75" customHeight="1" x14ac:dyDescent="0.2">
      <c r="A624" s="40">
        <v>44162</v>
      </c>
      <c r="E624" s="39">
        <f>+(16+15)/2</f>
        <v>15.5</v>
      </c>
      <c r="F624" s="39">
        <f>+(6+5.58+5+4.65)/4</f>
        <v>5.3074999999999992</v>
      </c>
      <c r="G624" s="39">
        <f>+(15+14)/2</f>
        <v>14.5</v>
      </c>
      <c r="H624" s="39">
        <f>+E624/83</f>
        <v>0.18674698795180722</v>
      </c>
      <c r="I624" s="39">
        <v>1.29</v>
      </c>
    </row>
    <row r="625" spans="1:9" ht="18.75" customHeight="1" x14ac:dyDescent="0.2">
      <c r="A625" s="40">
        <v>44169</v>
      </c>
      <c r="E625" s="39">
        <f t="shared" ref="E625:E630" si="62">+(17+16)/2</f>
        <v>16.5</v>
      </c>
      <c r="F625" s="39">
        <f t="shared" ref="F625:F630" si="63">+(7+6.51+6+5.58)/4</f>
        <v>6.2724999999999991</v>
      </c>
      <c r="G625" s="39">
        <f t="shared" ref="G625:G630" si="64">+(16+15)/2</f>
        <v>15.5</v>
      </c>
      <c r="H625" s="39">
        <f>+E625/83.75</f>
        <v>0.19701492537313434</v>
      </c>
      <c r="I625" s="39" t="s">
        <v>249</v>
      </c>
    </row>
    <row r="626" spans="1:9" ht="18.75" customHeight="1" x14ac:dyDescent="0.2">
      <c r="A626" s="40">
        <v>44176</v>
      </c>
      <c r="E626" s="39">
        <f t="shared" si="62"/>
        <v>16.5</v>
      </c>
      <c r="F626" s="39">
        <f t="shared" si="63"/>
        <v>6.2724999999999991</v>
      </c>
      <c r="G626" s="39">
        <f t="shared" si="64"/>
        <v>15.5</v>
      </c>
      <c r="H626" s="39">
        <f>+E626/84.2</f>
        <v>0.19596199524940616</v>
      </c>
      <c r="I626" s="39">
        <v>1.3</v>
      </c>
    </row>
    <row r="627" spans="1:9" ht="18.75" customHeight="1" x14ac:dyDescent="0.2">
      <c r="A627" s="40">
        <v>44183</v>
      </c>
      <c r="E627" s="39">
        <f t="shared" si="62"/>
        <v>16.5</v>
      </c>
      <c r="F627" s="39">
        <f t="shared" si="63"/>
        <v>6.2724999999999991</v>
      </c>
      <c r="G627" s="39">
        <f t="shared" si="64"/>
        <v>15.5</v>
      </c>
      <c r="H627" s="39">
        <f>+E627/84.75</f>
        <v>0.19469026548672566</v>
      </c>
      <c r="I627" s="39">
        <v>1.28</v>
      </c>
    </row>
    <row r="628" spans="1:9" ht="21.75" customHeight="1" x14ac:dyDescent="0.2">
      <c r="A628" s="40">
        <v>44189</v>
      </c>
      <c r="E628" s="39">
        <f t="shared" si="62"/>
        <v>16.5</v>
      </c>
      <c r="F628" s="39">
        <f t="shared" si="63"/>
        <v>6.2724999999999991</v>
      </c>
      <c r="G628" s="39">
        <f t="shared" si="64"/>
        <v>15.5</v>
      </c>
      <c r="H628" s="39">
        <f>+E628/84.75</f>
        <v>0.19469026548672566</v>
      </c>
      <c r="I628" s="39">
        <v>1.28</v>
      </c>
    </row>
    <row r="629" spans="1:9" ht="21.75" customHeight="1" x14ac:dyDescent="0.2">
      <c r="A629" s="40">
        <v>44195</v>
      </c>
      <c r="E629" s="39">
        <f t="shared" si="62"/>
        <v>16.5</v>
      </c>
      <c r="F629" s="39">
        <f t="shared" si="63"/>
        <v>6.2724999999999991</v>
      </c>
      <c r="G629" s="39">
        <f t="shared" si="64"/>
        <v>15.5</v>
      </c>
      <c r="H629" s="39">
        <f>+E629/86</f>
        <v>0.19186046511627908</v>
      </c>
      <c r="I629" s="39" t="s">
        <v>249</v>
      </c>
    </row>
    <row r="630" spans="1:9" ht="23.25" customHeight="1" x14ac:dyDescent="0.2">
      <c r="A630" s="49">
        <v>44204</v>
      </c>
      <c r="B630" s="50"/>
      <c r="C630" s="50"/>
      <c r="D630" s="50"/>
      <c r="E630" s="51">
        <f t="shared" si="62"/>
        <v>16.5</v>
      </c>
      <c r="F630" s="51">
        <f t="shared" si="63"/>
        <v>6.2724999999999991</v>
      </c>
      <c r="G630" s="51">
        <f t="shared" si="64"/>
        <v>15.5</v>
      </c>
      <c r="H630" s="51">
        <f>+E630/87</f>
        <v>0.18965517241379309</v>
      </c>
      <c r="I630" s="51" t="s">
        <v>249</v>
      </c>
    </row>
    <row r="631" spans="1:9" ht="20.25" customHeight="1" x14ac:dyDescent="0.2">
      <c r="A631" s="49">
        <v>44211</v>
      </c>
      <c r="B631" s="50"/>
      <c r="C631" s="50"/>
      <c r="D631" s="50"/>
      <c r="E631" s="51">
        <f>+(18+17)/2</f>
        <v>17.5</v>
      </c>
      <c r="F631" s="51">
        <f t="shared" ref="F631:F636" si="65">+(8+7.44+7+6.51)/4</f>
        <v>7.2375000000000007</v>
      </c>
      <c r="G631" s="51">
        <f>+(17+16)/2</f>
        <v>16.5</v>
      </c>
      <c r="H631" s="51">
        <f>+E631/87.75</f>
        <v>0.19943019943019943</v>
      </c>
      <c r="I631" s="51" t="s">
        <v>249</v>
      </c>
    </row>
    <row r="632" spans="1:9" ht="23.25" customHeight="1" x14ac:dyDescent="0.2">
      <c r="A632" s="49">
        <v>44218</v>
      </c>
      <c r="B632" s="50"/>
      <c r="C632" s="50"/>
      <c r="D632" s="50"/>
      <c r="E632" s="51">
        <f>+(20+19)/2</f>
        <v>19.5</v>
      </c>
      <c r="F632" s="51">
        <f t="shared" si="65"/>
        <v>7.2375000000000007</v>
      </c>
      <c r="G632" s="51">
        <f>+(19+18)/2</f>
        <v>18.5</v>
      </c>
      <c r="H632" s="51">
        <f>+E632/88.5</f>
        <v>0.22033898305084745</v>
      </c>
      <c r="I632" s="51">
        <v>1.3</v>
      </c>
    </row>
    <row r="633" spans="1:9" ht="23.25" customHeight="1" x14ac:dyDescent="0.2">
      <c r="A633" s="49">
        <v>44225</v>
      </c>
      <c r="B633" s="50"/>
      <c r="C633" s="50"/>
      <c r="D633" s="50"/>
      <c r="E633" s="51">
        <f>+(22+21)/2</f>
        <v>21.5</v>
      </c>
      <c r="F633" s="51">
        <f t="shared" si="65"/>
        <v>7.2375000000000007</v>
      </c>
      <c r="G633" s="51">
        <f>+(20+19)/2</f>
        <v>19.5</v>
      </c>
      <c r="H633" s="51">
        <f>+E633/89</f>
        <v>0.24157303370786518</v>
      </c>
      <c r="I633" s="51" t="s">
        <v>249</v>
      </c>
    </row>
    <row r="634" spans="1:9" ht="24" customHeight="1" x14ac:dyDescent="0.2">
      <c r="A634" s="49">
        <v>44232</v>
      </c>
      <c r="B634" s="50"/>
      <c r="C634" s="50"/>
      <c r="D634" s="50"/>
      <c r="E634" s="51">
        <f>+(22+21)/2</f>
        <v>21.5</v>
      </c>
      <c r="F634" s="51">
        <f t="shared" si="65"/>
        <v>7.2375000000000007</v>
      </c>
      <c r="G634" s="51">
        <f>+(20+19)/2</f>
        <v>19.5</v>
      </c>
      <c r="H634" s="51">
        <f>+E634/89.75</f>
        <v>0.23955431754874651</v>
      </c>
      <c r="I634" s="51">
        <v>1.28</v>
      </c>
    </row>
    <row r="635" spans="1:9" ht="20.25" customHeight="1" x14ac:dyDescent="0.2">
      <c r="A635" s="49">
        <v>44239</v>
      </c>
      <c r="B635" s="50"/>
      <c r="C635" s="50"/>
      <c r="D635" s="50"/>
      <c r="E635" s="51">
        <f>+(24+23)/2</f>
        <v>23.5</v>
      </c>
      <c r="F635" s="51">
        <f t="shared" si="65"/>
        <v>7.2375000000000007</v>
      </c>
      <c r="G635" s="51">
        <f>+(22+21)/2</f>
        <v>21.5</v>
      </c>
      <c r="H635" s="51">
        <f>+E635/89.75</f>
        <v>0.2618384401114206</v>
      </c>
      <c r="I635" s="51" t="s">
        <v>249</v>
      </c>
    </row>
    <row r="636" spans="1:9" ht="21.75" customHeight="1" x14ac:dyDescent="0.2">
      <c r="A636" s="49">
        <v>44246</v>
      </c>
      <c r="B636" s="50"/>
      <c r="C636" s="50"/>
      <c r="D636" s="50"/>
      <c r="E636" s="51">
        <f>+(24+23)/2</f>
        <v>23.5</v>
      </c>
      <c r="F636" s="51">
        <f t="shared" si="65"/>
        <v>7.2375000000000007</v>
      </c>
      <c r="G636" s="51">
        <f>+(22+21)/2</f>
        <v>21.5</v>
      </c>
      <c r="H636" s="51">
        <f>+E636/90.75</f>
        <v>0.25895316804407714</v>
      </c>
      <c r="I636" s="51" t="s">
        <v>249</v>
      </c>
    </row>
    <row r="637" spans="1:9" ht="22.5" customHeight="1" x14ac:dyDescent="0.2">
      <c r="A637" s="49">
        <v>44253</v>
      </c>
      <c r="B637" s="50"/>
      <c r="C637" s="50"/>
      <c r="D637" s="50"/>
      <c r="E637" s="51">
        <f>+(27+26)/2</f>
        <v>26.5</v>
      </c>
      <c r="F637" s="51">
        <f>+(10+9.3+9+8.37)/4</f>
        <v>9.1675000000000004</v>
      </c>
      <c r="G637" s="51">
        <f>+(25+24)/2</f>
        <v>24.5</v>
      </c>
      <c r="H637" s="51">
        <f>+E637/91.5</f>
        <v>0.2896174863387978</v>
      </c>
      <c r="I637" s="51" t="s">
        <v>249</v>
      </c>
    </row>
    <row r="638" spans="1:9" ht="20.25" customHeight="1" x14ac:dyDescent="0.2">
      <c r="A638" s="49">
        <v>44260</v>
      </c>
      <c r="B638" s="50"/>
      <c r="C638" s="50"/>
      <c r="D638" s="50"/>
      <c r="E638" s="51">
        <f>+(30+29)/2</f>
        <v>29.5</v>
      </c>
      <c r="F638" s="51">
        <f>+(13+12.09+12+11.16)/4</f>
        <v>12.0625</v>
      </c>
      <c r="G638" s="51">
        <f>+(28+27)/2</f>
        <v>27.5</v>
      </c>
      <c r="H638" s="51">
        <f>+E638/92</f>
        <v>0.32065217391304346</v>
      </c>
      <c r="I638" s="51" t="s">
        <v>249</v>
      </c>
    </row>
    <row r="639" spans="1:9" ht="19.5" customHeight="1" x14ac:dyDescent="0.2">
      <c r="A639" s="49">
        <v>44267</v>
      </c>
      <c r="B639" s="50"/>
      <c r="C639" s="50"/>
      <c r="D639" s="50"/>
      <c r="E639" s="51">
        <f>+(35+34)/2</f>
        <v>34.5</v>
      </c>
      <c r="F639" s="51">
        <f>+(18+16.74+17+15.81)/4</f>
        <v>16.887499999999999</v>
      </c>
      <c r="G639" s="51">
        <f>+(33+32)/2</f>
        <v>32.5</v>
      </c>
      <c r="H639" s="51">
        <f>+E639/92.75</f>
        <v>0.3719676549865229</v>
      </c>
      <c r="I639" s="51">
        <v>1.32</v>
      </c>
    </row>
    <row r="640" spans="1:9" ht="19.5" customHeight="1" x14ac:dyDescent="0.2">
      <c r="A640" s="49">
        <v>44274</v>
      </c>
      <c r="B640" s="50"/>
      <c r="C640" s="50"/>
      <c r="D640" s="50"/>
      <c r="E640" s="51">
        <f>+(40+39)/2</f>
        <v>39.5</v>
      </c>
      <c r="F640" s="51">
        <f>+(23+21.39+22+20.46)/4</f>
        <v>21.712499999999999</v>
      </c>
      <c r="G640" s="51">
        <f>+(38+37)/2</f>
        <v>37.5</v>
      </c>
      <c r="H640" s="51">
        <f>+E640/93.5</f>
        <v>0.42245989304812837</v>
      </c>
      <c r="I640" s="51">
        <v>1.37</v>
      </c>
    </row>
    <row r="641" spans="1:9" ht="17.25" customHeight="1" x14ac:dyDescent="0.2">
      <c r="A641" s="49">
        <v>44278</v>
      </c>
      <c r="B641" s="50"/>
      <c r="C641" s="50"/>
      <c r="D641" s="50"/>
      <c r="E641" s="51">
        <f>+(43+42)/2</f>
        <v>42.5</v>
      </c>
      <c r="F641" s="51">
        <f>+(26+24.18+25+23.25)/4</f>
        <v>24.607500000000002</v>
      </c>
      <c r="G641" s="51">
        <f>+(41+40)/2</f>
        <v>40.5</v>
      </c>
      <c r="H641" s="51">
        <f>+E641/94</f>
        <v>0.4521276595744681</v>
      </c>
      <c r="I641" s="51" t="s">
        <v>249</v>
      </c>
    </row>
    <row r="642" spans="1:9" ht="17.25" customHeight="1" x14ac:dyDescent="0.2">
      <c r="A642" s="49">
        <v>44286</v>
      </c>
      <c r="B642" s="50"/>
      <c r="C642" s="50"/>
      <c r="D642" s="50"/>
      <c r="E642" s="51">
        <f>+(46+45)/2</f>
        <v>45.5</v>
      </c>
      <c r="F642" s="51">
        <f>+(26+24.18+25+23.25)/4</f>
        <v>24.607500000000002</v>
      </c>
      <c r="G642" s="51">
        <f>+(44+43)/2</f>
        <v>43.5</v>
      </c>
      <c r="H642" s="51">
        <f>+E642/94.5</f>
        <v>0.48148148148148145</v>
      </c>
      <c r="I642" s="51" t="s">
        <v>249</v>
      </c>
    </row>
    <row r="643" spans="1:9" ht="17.25" customHeight="1" x14ac:dyDescent="0.2">
      <c r="A643" s="49">
        <v>44295</v>
      </c>
      <c r="B643" s="50"/>
      <c r="C643" s="50"/>
      <c r="D643" s="50"/>
      <c r="E643" s="51">
        <f>+(50+49)/2</f>
        <v>49.5</v>
      </c>
      <c r="F643" s="51">
        <f>+(26+24.18+25+23.25)/4</f>
        <v>24.607500000000002</v>
      </c>
      <c r="G643" s="51">
        <f>+(47+48)/2</f>
        <v>47.5</v>
      </c>
      <c r="H643" s="51">
        <f>+E643/95</f>
        <v>0.52105263157894732</v>
      </c>
      <c r="I643" s="51">
        <v>1.67</v>
      </c>
    </row>
    <row r="644" spans="1:9" ht="17.25" customHeight="1" x14ac:dyDescent="0.2">
      <c r="A644" s="49">
        <v>44302</v>
      </c>
      <c r="B644" s="50"/>
      <c r="C644" s="50"/>
      <c r="D644" s="50"/>
      <c r="E644" s="51">
        <f>+(53+52)/2</f>
        <v>52.5</v>
      </c>
      <c r="F644" s="51">
        <f>+(28+26.04+27+25.11)/4</f>
        <v>26.537499999999998</v>
      </c>
      <c r="G644" s="51">
        <f>+(51+50)/2</f>
        <v>50.5</v>
      </c>
      <c r="H644" s="51">
        <f>+E644/95.25</f>
        <v>0.55118110236220474</v>
      </c>
      <c r="I644" s="51">
        <v>1.67</v>
      </c>
    </row>
    <row r="645" spans="1:9" ht="18.75" customHeight="1" x14ac:dyDescent="0.2">
      <c r="A645" s="49">
        <v>44309</v>
      </c>
      <c r="B645" s="50"/>
      <c r="C645" s="50"/>
      <c r="D645" s="50"/>
      <c r="E645" s="51">
        <f t="shared" ref="E645:E653" si="66">+(57+56)/2</f>
        <v>56.5</v>
      </c>
      <c r="F645" s="51">
        <f t="shared" ref="F645:F666" si="67">+(31+28.83+30+27.9)/4</f>
        <v>29.432499999999997</v>
      </c>
      <c r="G645" s="51">
        <f t="shared" ref="G645:G653" si="68">+(55+54)/2</f>
        <v>54.5</v>
      </c>
      <c r="H645" s="51">
        <f>+E645/95.25</f>
        <v>0.59317585301837272</v>
      </c>
      <c r="I645" s="51" t="s">
        <v>249</v>
      </c>
    </row>
    <row r="646" spans="1:9" ht="18.75" customHeight="1" x14ac:dyDescent="0.2">
      <c r="A646" s="49">
        <v>44316</v>
      </c>
      <c r="B646" s="50"/>
      <c r="C646" s="50"/>
      <c r="D646" s="50"/>
      <c r="E646" s="51">
        <f t="shared" si="66"/>
        <v>56.5</v>
      </c>
      <c r="F646" s="51">
        <f t="shared" si="67"/>
        <v>29.432499999999997</v>
      </c>
      <c r="G646" s="51">
        <f t="shared" si="68"/>
        <v>54.5</v>
      </c>
      <c r="H646" s="51">
        <f>+E646/95.5</f>
        <v>0.59162303664921467</v>
      </c>
      <c r="I646" s="51" t="s">
        <v>249</v>
      </c>
    </row>
    <row r="647" spans="1:9" ht="18" customHeight="1" x14ac:dyDescent="0.2">
      <c r="A647" s="49">
        <v>44323</v>
      </c>
      <c r="B647" s="50"/>
      <c r="C647" s="50"/>
      <c r="D647" s="50"/>
      <c r="E647" s="51">
        <f t="shared" si="66"/>
        <v>56.5</v>
      </c>
      <c r="F647" s="51">
        <f t="shared" si="67"/>
        <v>29.432499999999997</v>
      </c>
      <c r="G647" s="51">
        <f t="shared" si="68"/>
        <v>54.5</v>
      </c>
      <c r="H647" s="51">
        <f>+E647/95.75</f>
        <v>0.59007832898172319</v>
      </c>
      <c r="I647" s="51">
        <v>1.78</v>
      </c>
    </row>
    <row r="648" spans="1:9" ht="18" customHeight="1" x14ac:dyDescent="0.2">
      <c r="A648" s="49">
        <v>44330</v>
      </c>
      <c r="B648" s="50"/>
      <c r="C648" s="50"/>
      <c r="D648" s="50"/>
      <c r="E648" s="51">
        <f t="shared" si="66"/>
        <v>56.5</v>
      </c>
      <c r="F648" s="51">
        <f t="shared" si="67"/>
        <v>29.432499999999997</v>
      </c>
      <c r="G648" s="51">
        <f t="shared" si="68"/>
        <v>54.5</v>
      </c>
      <c r="H648" s="51">
        <f>+E648/96</f>
        <v>0.58854166666666663</v>
      </c>
      <c r="I648" s="51">
        <v>1.78</v>
      </c>
    </row>
    <row r="649" spans="1:9" ht="16.5" customHeight="1" x14ac:dyDescent="0.2">
      <c r="A649" s="49">
        <v>44337</v>
      </c>
      <c r="B649" s="50"/>
      <c r="C649" s="50"/>
      <c r="D649" s="50"/>
      <c r="E649" s="51">
        <f t="shared" si="66"/>
        <v>56.5</v>
      </c>
      <c r="F649" s="51">
        <f t="shared" si="67"/>
        <v>29.432499999999997</v>
      </c>
      <c r="G649" s="51">
        <f t="shared" si="68"/>
        <v>54.5</v>
      </c>
      <c r="H649" s="51">
        <f>+E649/96.25</f>
        <v>0.58701298701298699</v>
      </c>
      <c r="I649" s="51">
        <v>1.66</v>
      </c>
    </row>
    <row r="650" spans="1:9" ht="20.25" customHeight="1" x14ac:dyDescent="0.2">
      <c r="A650" s="49">
        <v>44344</v>
      </c>
      <c r="B650" s="50"/>
      <c r="C650" s="50"/>
      <c r="D650" s="50"/>
      <c r="E650" s="51">
        <f t="shared" si="66"/>
        <v>56.5</v>
      </c>
      <c r="F650" s="51">
        <f t="shared" si="67"/>
        <v>29.432499999999997</v>
      </c>
      <c r="G650" s="51">
        <f t="shared" si="68"/>
        <v>54.5</v>
      </c>
      <c r="H650" s="51">
        <f>+E650/96.75</f>
        <v>0.58397932816537468</v>
      </c>
      <c r="I650" s="51">
        <v>1.78</v>
      </c>
    </row>
    <row r="651" spans="1:9" ht="20.25" customHeight="1" x14ac:dyDescent="0.2">
      <c r="A651" s="49">
        <v>44351</v>
      </c>
      <c r="B651" s="50"/>
      <c r="C651" s="50"/>
      <c r="D651" s="50"/>
      <c r="E651" s="51">
        <f t="shared" si="66"/>
        <v>56.5</v>
      </c>
      <c r="F651" s="51">
        <f t="shared" si="67"/>
        <v>29.432499999999997</v>
      </c>
      <c r="G651" s="51">
        <f t="shared" si="68"/>
        <v>54.5</v>
      </c>
      <c r="H651" s="51">
        <f>+E651/97</f>
        <v>0.58247422680412375</v>
      </c>
      <c r="I651" s="51">
        <v>1.78</v>
      </c>
    </row>
    <row r="652" spans="1:9" ht="18" customHeight="1" x14ac:dyDescent="0.2">
      <c r="A652" s="49">
        <v>44358</v>
      </c>
      <c r="E652" s="51">
        <f t="shared" si="66"/>
        <v>56.5</v>
      </c>
      <c r="F652" s="51">
        <f t="shared" si="67"/>
        <v>29.432499999999997</v>
      </c>
      <c r="G652" s="51">
        <f t="shared" si="68"/>
        <v>54.5</v>
      </c>
      <c r="H652" s="51">
        <f>+E652/97</f>
        <v>0.58247422680412375</v>
      </c>
      <c r="I652" s="51">
        <v>1.75</v>
      </c>
    </row>
    <row r="653" spans="1:9" ht="21.75" customHeight="1" x14ac:dyDescent="0.2">
      <c r="A653" s="49">
        <v>44365</v>
      </c>
      <c r="E653" s="51">
        <f t="shared" si="66"/>
        <v>56.5</v>
      </c>
      <c r="F653" s="51">
        <f t="shared" si="67"/>
        <v>29.432499999999997</v>
      </c>
      <c r="G653" s="51">
        <f t="shared" si="68"/>
        <v>54.5</v>
      </c>
      <c r="H653" s="51">
        <f>+E653/97.25</f>
        <v>0.58097686375321334</v>
      </c>
      <c r="I653" s="51">
        <v>1.83</v>
      </c>
    </row>
    <row r="654" spans="1:9" ht="22.5" customHeight="1" x14ac:dyDescent="0.2">
      <c r="A654" s="49">
        <v>44372</v>
      </c>
      <c r="E654" s="51">
        <f>+(60+59)/2</f>
        <v>59.5</v>
      </c>
      <c r="F654" s="51">
        <f t="shared" si="67"/>
        <v>29.432499999999997</v>
      </c>
      <c r="G654" s="51">
        <f>+(58+57)/2</f>
        <v>57.5</v>
      </c>
      <c r="H654" s="51">
        <f>+E654/97.5</f>
        <v>0.61025641025641031</v>
      </c>
      <c r="I654" s="51">
        <v>1.83</v>
      </c>
    </row>
    <row r="655" spans="1:9" ht="22.5" customHeight="1" x14ac:dyDescent="0.2">
      <c r="A655" s="49">
        <v>44379</v>
      </c>
      <c r="E655" s="51">
        <f>+(60+59)/2</f>
        <v>59.5</v>
      </c>
      <c r="F655" s="51">
        <f t="shared" si="67"/>
        <v>29.432499999999997</v>
      </c>
      <c r="G655" s="51">
        <f>+(58+57)/2</f>
        <v>57.5</v>
      </c>
      <c r="H655" s="51">
        <f>+E655/97.75</f>
        <v>0.60869565217391308</v>
      </c>
      <c r="I655" s="51" t="s">
        <v>249</v>
      </c>
    </row>
    <row r="656" spans="1:9" ht="21" customHeight="1" x14ac:dyDescent="0.2">
      <c r="A656" s="49">
        <v>44385</v>
      </c>
      <c r="E656" s="51">
        <f>+(60+59)/2</f>
        <v>59.5</v>
      </c>
      <c r="F656" s="51">
        <f t="shared" si="67"/>
        <v>29.432499999999997</v>
      </c>
      <c r="G656" s="51">
        <f>+(58+57)/2</f>
        <v>57.5</v>
      </c>
      <c r="H656" s="51">
        <f>+E656/98</f>
        <v>0.6071428571428571</v>
      </c>
      <c r="I656" s="51">
        <v>1.94</v>
      </c>
    </row>
    <row r="657" spans="1:9" ht="18" customHeight="1" x14ac:dyDescent="0.2">
      <c r="A657" s="49">
        <v>44393</v>
      </c>
      <c r="E657" s="51">
        <f>+(62+61)/2</f>
        <v>61.5</v>
      </c>
      <c r="F657" s="51">
        <f t="shared" si="67"/>
        <v>29.432499999999997</v>
      </c>
      <c r="G657" s="51">
        <f>+(60+59)/2</f>
        <v>59.5</v>
      </c>
      <c r="H657" s="51">
        <f>+E657/98.25</f>
        <v>0.62595419847328249</v>
      </c>
      <c r="I657" s="51">
        <v>1.99</v>
      </c>
    </row>
    <row r="658" spans="1:9" ht="18" customHeight="1" x14ac:dyDescent="0.2">
      <c r="A658" s="49">
        <v>44400</v>
      </c>
      <c r="E658" s="51">
        <f>+(62+61)/2</f>
        <v>61.5</v>
      </c>
      <c r="F658" s="51">
        <f t="shared" si="67"/>
        <v>29.432499999999997</v>
      </c>
      <c r="G658" s="51">
        <f>+(60+59)/2</f>
        <v>59.5</v>
      </c>
      <c r="H658" s="51">
        <f>+E658/98.5</f>
        <v>0.62436548223350252</v>
      </c>
      <c r="I658" s="51">
        <v>1.99</v>
      </c>
    </row>
    <row r="659" spans="1:9" ht="18" customHeight="1" x14ac:dyDescent="0.2">
      <c r="A659" s="49">
        <v>44407</v>
      </c>
      <c r="E659" s="51">
        <f>+(62+61)/2</f>
        <v>61.5</v>
      </c>
      <c r="F659" s="51">
        <f t="shared" si="67"/>
        <v>29.432499999999997</v>
      </c>
      <c r="G659" s="51">
        <f>+(60+59)/2</f>
        <v>59.5</v>
      </c>
      <c r="H659" s="51">
        <f>+E659/98.75</f>
        <v>0.62278481012658227</v>
      </c>
      <c r="I659" s="51">
        <v>1.99</v>
      </c>
    </row>
    <row r="660" spans="1:9" ht="18" customHeight="1" x14ac:dyDescent="0.2">
      <c r="A660" s="49">
        <v>44414</v>
      </c>
      <c r="E660" s="51">
        <f>+(62+61)/2</f>
        <v>61.5</v>
      </c>
      <c r="F660" s="51">
        <f t="shared" si="67"/>
        <v>29.432499999999997</v>
      </c>
      <c r="G660" s="51">
        <f>+(60+59)/2</f>
        <v>59.5</v>
      </c>
      <c r="H660" s="51">
        <f>+E660/99</f>
        <v>0.62121212121212122</v>
      </c>
      <c r="I660" s="51">
        <v>1.98</v>
      </c>
    </row>
    <row r="661" spans="1:9" ht="20.25" customHeight="1" x14ac:dyDescent="0.2">
      <c r="A661" s="49">
        <v>44421</v>
      </c>
      <c r="E661" s="51">
        <f>+(62+61)/2</f>
        <v>61.5</v>
      </c>
      <c r="F661" s="51">
        <f t="shared" si="67"/>
        <v>29.432499999999997</v>
      </c>
      <c r="G661" s="51">
        <f>+(60+59)/2</f>
        <v>59.5</v>
      </c>
      <c r="H661" s="51">
        <f>+E661/99</f>
        <v>0.62121212121212122</v>
      </c>
      <c r="I661" s="51">
        <v>1.98</v>
      </c>
    </row>
    <row r="662" spans="1:9" ht="20.25" customHeight="1" x14ac:dyDescent="0.2">
      <c r="A662" s="49">
        <v>44428</v>
      </c>
      <c r="E662" s="51">
        <f t="shared" ref="E662:E666" si="69">+(62+61)/2</f>
        <v>61.5</v>
      </c>
      <c r="F662" s="51">
        <f t="shared" si="67"/>
        <v>29.432499999999997</v>
      </c>
      <c r="G662" s="51">
        <f t="shared" ref="G662:G666" si="70">+(60+59)/2</f>
        <v>59.5</v>
      </c>
      <c r="H662" s="51">
        <f t="shared" ref="H662" si="71">+E662/99</f>
        <v>0.62121212121212122</v>
      </c>
      <c r="I662" s="51">
        <v>1.98</v>
      </c>
    </row>
    <row r="663" spans="1:9" ht="18.75" customHeight="1" x14ac:dyDescent="0.2">
      <c r="A663" s="49">
        <v>44435</v>
      </c>
      <c r="E663" s="51">
        <f t="shared" si="69"/>
        <v>61.5</v>
      </c>
      <c r="F663" s="51">
        <f t="shared" si="67"/>
        <v>29.432499999999997</v>
      </c>
      <c r="G663" s="51">
        <f t="shared" si="70"/>
        <v>59.5</v>
      </c>
      <c r="H663" s="51">
        <f>+E663/99.8</f>
        <v>0.61623246492985972</v>
      </c>
      <c r="I663" s="51" t="s">
        <v>249</v>
      </c>
    </row>
    <row r="664" spans="1:9" ht="18.75" customHeight="1" x14ac:dyDescent="0.2">
      <c r="A664" s="49">
        <v>44442</v>
      </c>
      <c r="E664" s="51">
        <f t="shared" si="69"/>
        <v>61.5</v>
      </c>
      <c r="F664" s="51">
        <f t="shared" si="67"/>
        <v>29.432499999999997</v>
      </c>
      <c r="G664" s="51">
        <f t="shared" si="70"/>
        <v>59.5</v>
      </c>
      <c r="H664" s="51">
        <f>+E664/99.8</f>
        <v>0.61623246492985972</v>
      </c>
      <c r="I664" s="51" t="s">
        <v>249</v>
      </c>
    </row>
    <row r="665" spans="1:9" ht="20.25" customHeight="1" x14ac:dyDescent="0.2">
      <c r="A665" s="49">
        <v>44449</v>
      </c>
      <c r="E665" s="51">
        <f t="shared" si="69"/>
        <v>61.5</v>
      </c>
      <c r="F665" s="51">
        <f t="shared" si="67"/>
        <v>29.432499999999997</v>
      </c>
      <c r="G665" s="51">
        <f t="shared" si="70"/>
        <v>59.5</v>
      </c>
      <c r="H665" s="51">
        <f>+E665/100.25</f>
        <v>0.61346633416458851</v>
      </c>
      <c r="I665" s="51" t="s">
        <v>249</v>
      </c>
    </row>
    <row r="666" spans="1:9" ht="18.75" customHeight="1" x14ac:dyDescent="0.2">
      <c r="A666" s="49">
        <v>44456</v>
      </c>
      <c r="E666" s="51">
        <f t="shared" si="69"/>
        <v>61.5</v>
      </c>
      <c r="F666" s="51">
        <f t="shared" si="67"/>
        <v>29.432499999999997</v>
      </c>
      <c r="G666" s="51">
        <f t="shared" si="70"/>
        <v>59.5</v>
      </c>
      <c r="H666" s="51">
        <f>+E666/100.5</f>
        <v>0.61194029850746268</v>
      </c>
      <c r="I666" s="51" t="s">
        <v>249</v>
      </c>
    </row>
    <row r="667" spans="1:9" ht="23.25" customHeight="1" x14ac:dyDescent="0.2">
      <c r="A667" s="49">
        <v>44463</v>
      </c>
      <c r="E667" s="51">
        <f>+(60+59)/2</f>
        <v>59.5</v>
      </c>
      <c r="F667" s="51">
        <f>+(29+26.97+28+26)/4</f>
        <v>27.4925</v>
      </c>
      <c r="G667" s="51">
        <f>+(58+57)/2</f>
        <v>57.5</v>
      </c>
      <c r="H667" s="51">
        <f>+E667/100.75</f>
        <v>0.59057071960297769</v>
      </c>
      <c r="I667" s="51" t="s">
        <v>249</v>
      </c>
    </row>
    <row r="668" spans="1:9" ht="21.75" customHeight="1" x14ac:dyDescent="0.2">
      <c r="A668" s="49">
        <v>44470</v>
      </c>
      <c r="B668" s="52"/>
      <c r="C668" s="52"/>
      <c r="D668" s="52"/>
      <c r="E668" s="51">
        <f>+(57+56)/2</f>
        <v>56.5</v>
      </c>
      <c r="F668" s="51">
        <f>+(26+24.18+25+23.25)/4</f>
        <v>24.607500000000002</v>
      </c>
      <c r="G668" s="51">
        <f>+(55+54)/2</f>
        <v>54.5</v>
      </c>
      <c r="H668" s="51">
        <f>+E668/101</f>
        <v>0.55940594059405946</v>
      </c>
      <c r="I668" s="51" t="s">
        <v>249</v>
      </c>
    </row>
    <row r="669" spans="1:9" ht="21" customHeight="1" x14ac:dyDescent="0.2">
      <c r="A669" s="49">
        <v>44476</v>
      </c>
      <c r="B669" s="52"/>
      <c r="C669" s="52"/>
      <c r="D669" s="52"/>
      <c r="E669" s="51">
        <f>+(52+51)/2</f>
        <v>51.5</v>
      </c>
      <c r="F669" s="51">
        <f>+(21+19.53+20+18.6)/4</f>
        <v>19.782499999999999</v>
      </c>
      <c r="G669" s="51">
        <f>+(50+49)/2</f>
        <v>49.5</v>
      </c>
      <c r="H669" s="51">
        <f>+E669/101.25</f>
        <v>0.50864197530864197</v>
      </c>
      <c r="I669" s="51" t="s">
        <v>249</v>
      </c>
    </row>
    <row r="670" spans="1:9" ht="19.5" customHeight="1" x14ac:dyDescent="0.2">
      <c r="A670" s="49">
        <v>44484</v>
      </c>
      <c r="B670" s="52"/>
      <c r="C670" s="52"/>
      <c r="D670" s="52"/>
      <c r="E670" s="51">
        <f>+(50+49)/2</f>
        <v>49.5</v>
      </c>
      <c r="F670" s="51">
        <f>+(19+17.67+18+16.74)/4</f>
        <v>17.852499999999999</v>
      </c>
      <c r="G670" s="51">
        <f>+(48+47)/2</f>
        <v>47.5</v>
      </c>
      <c r="H670" s="51">
        <f>+E670/101.25</f>
        <v>0.48888888888888887</v>
      </c>
      <c r="I670" s="51" t="s">
        <v>249</v>
      </c>
    </row>
    <row r="671" spans="1:9" ht="20.25" customHeight="1" x14ac:dyDescent="0.2">
      <c r="A671" s="49">
        <v>44491</v>
      </c>
      <c r="B671" s="52"/>
      <c r="C671" s="52"/>
      <c r="D671" s="52"/>
      <c r="E671" s="51">
        <f>+(48+49)/2</f>
        <v>48.5</v>
      </c>
      <c r="F671" s="51">
        <f>+(18+17+16.74+15.81)/4</f>
        <v>16.887499999999999</v>
      </c>
      <c r="G671" s="51">
        <f>+(46+47)/2</f>
        <v>46.5</v>
      </c>
      <c r="H671" s="51">
        <f>+E671/101.75</f>
        <v>0.47665847665847666</v>
      </c>
      <c r="I671" s="51" t="s">
        <v>249</v>
      </c>
    </row>
    <row r="672" spans="1:9" ht="21" customHeight="1" x14ac:dyDescent="0.2">
      <c r="A672" s="49">
        <v>44498</v>
      </c>
      <c r="E672" s="51">
        <f t="shared" ref="E672:E720" si="72">+(47+46)/2</f>
        <v>46.5</v>
      </c>
      <c r="F672" s="51">
        <f t="shared" ref="F672:F716" si="73">+(16+14.88+15+13.95)/4</f>
        <v>14.9575</v>
      </c>
      <c r="G672" s="51">
        <f t="shared" ref="G672:G686" si="74">+(45+44)/2</f>
        <v>44.5</v>
      </c>
      <c r="H672" s="51">
        <f>+E672/102.25</f>
        <v>0.45476772616136918</v>
      </c>
      <c r="I672" s="51" t="s">
        <v>249</v>
      </c>
    </row>
    <row r="673" spans="1:9" ht="22.5" customHeight="1" x14ac:dyDescent="0.2">
      <c r="A673" s="49">
        <v>44505</v>
      </c>
      <c r="E673" s="51">
        <f t="shared" si="72"/>
        <v>46.5</v>
      </c>
      <c r="F673" s="51">
        <f t="shared" si="73"/>
        <v>14.9575</v>
      </c>
      <c r="G673" s="51">
        <f t="shared" si="74"/>
        <v>44.5</v>
      </c>
      <c r="H673" s="51">
        <f>+E673/102</f>
        <v>0.45588235294117646</v>
      </c>
      <c r="I673" s="51" t="s">
        <v>249</v>
      </c>
    </row>
    <row r="674" spans="1:9" ht="19.5" customHeight="1" x14ac:dyDescent="0.2">
      <c r="A674" s="49">
        <v>44512</v>
      </c>
      <c r="E674" s="51">
        <f t="shared" si="72"/>
        <v>46.5</v>
      </c>
      <c r="F674" s="51">
        <f t="shared" si="73"/>
        <v>14.9575</v>
      </c>
      <c r="G674" s="51">
        <f t="shared" si="74"/>
        <v>44.5</v>
      </c>
      <c r="H674" s="51">
        <f>+E674/102.25</f>
        <v>0.45476772616136918</v>
      </c>
      <c r="I674" s="51" t="s">
        <v>249</v>
      </c>
    </row>
    <row r="675" spans="1:9" ht="21" customHeight="1" x14ac:dyDescent="0.2">
      <c r="A675" s="49">
        <v>44519</v>
      </c>
      <c r="E675" s="51">
        <f t="shared" si="72"/>
        <v>46.5</v>
      </c>
      <c r="F675" s="51">
        <f t="shared" si="73"/>
        <v>14.9575</v>
      </c>
      <c r="G675" s="51">
        <f t="shared" si="74"/>
        <v>44.5</v>
      </c>
      <c r="H675" s="51">
        <f>+E675/102.5</f>
        <v>0.45365853658536587</v>
      </c>
      <c r="I675" s="51" t="s">
        <v>249</v>
      </c>
    </row>
    <row r="676" spans="1:9" ht="21" customHeight="1" x14ac:dyDescent="0.2">
      <c r="A676" s="49">
        <v>44523</v>
      </c>
      <c r="E676" s="51">
        <f t="shared" si="72"/>
        <v>46.5</v>
      </c>
      <c r="F676" s="51">
        <f t="shared" si="73"/>
        <v>14.9575</v>
      </c>
      <c r="G676" s="51">
        <f t="shared" si="74"/>
        <v>44.5</v>
      </c>
      <c r="H676" s="51">
        <f>+E676/102.75</f>
        <v>0.45255474452554745</v>
      </c>
      <c r="I676" s="51">
        <v>1.22</v>
      </c>
    </row>
    <row r="677" spans="1:9" ht="18.75" customHeight="1" x14ac:dyDescent="0.2">
      <c r="A677" s="49">
        <v>44533</v>
      </c>
      <c r="E677" s="51">
        <f t="shared" si="72"/>
        <v>46.5</v>
      </c>
      <c r="F677" s="51">
        <f t="shared" si="73"/>
        <v>14.9575</v>
      </c>
      <c r="G677" s="51">
        <f t="shared" si="74"/>
        <v>44.5</v>
      </c>
      <c r="H677" s="51">
        <f>+E677/103</f>
        <v>0.45145631067961167</v>
      </c>
      <c r="I677" s="51">
        <v>1.22</v>
      </c>
    </row>
    <row r="678" spans="1:9" ht="18.75" customHeight="1" x14ac:dyDescent="0.2">
      <c r="A678" s="49">
        <v>44540</v>
      </c>
      <c r="E678" s="51">
        <f t="shared" si="72"/>
        <v>46.5</v>
      </c>
      <c r="F678" s="51">
        <f t="shared" si="73"/>
        <v>14.9575</v>
      </c>
      <c r="G678" s="51">
        <f t="shared" si="74"/>
        <v>44.5</v>
      </c>
      <c r="H678" s="51">
        <f>+E678/103.75</f>
        <v>0.44819277108433736</v>
      </c>
      <c r="I678" s="51">
        <v>1.22</v>
      </c>
    </row>
    <row r="679" spans="1:9" ht="22.5" customHeight="1" x14ac:dyDescent="0.2">
      <c r="A679" s="49">
        <v>44547</v>
      </c>
      <c r="E679" s="51">
        <f t="shared" si="72"/>
        <v>46.5</v>
      </c>
      <c r="F679" s="51">
        <f t="shared" si="73"/>
        <v>14.9575</v>
      </c>
      <c r="G679" s="51">
        <f t="shared" si="74"/>
        <v>44.5</v>
      </c>
      <c r="H679" s="51">
        <f>+E679/104</f>
        <v>0.44711538461538464</v>
      </c>
      <c r="I679" s="51">
        <v>1.22</v>
      </c>
    </row>
    <row r="680" spans="1:9" ht="17.25" customHeight="1" x14ac:dyDescent="0.2">
      <c r="A680" s="49">
        <v>44553</v>
      </c>
      <c r="E680" s="51">
        <f t="shared" si="72"/>
        <v>46.5</v>
      </c>
      <c r="F680" s="51">
        <f t="shared" si="73"/>
        <v>14.9575</v>
      </c>
      <c r="G680" s="51">
        <f t="shared" si="74"/>
        <v>44.5</v>
      </c>
      <c r="H680" s="51">
        <f>+E680/104.5</f>
        <v>0.44497607655502391</v>
      </c>
      <c r="I680" s="51">
        <v>1.22</v>
      </c>
    </row>
    <row r="681" spans="1:9" ht="19.5" customHeight="1" x14ac:dyDescent="0.2">
      <c r="A681" s="49">
        <v>44560</v>
      </c>
      <c r="E681" s="51">
        <f t="shared" si="72"/>
        <v>46.5</v>
      </c>
      <c r="F681" s="51">
        <f t="shared" si="73"/>
        <v>14.9575</v>
      </c>
      <c r="G681" s="51">
        <f t="shared" si="74"/>
        <v>44.5</v>
      </c>
      <c r="H681" s="51">
        <f>+E681/104.75</f>
        <v>0.44391408114558473</v>
      </c>
      <c r="I681" s="51" t="s">
        <v>249</v>
      </c>
    </row>
    <row r="682" spans="1:9" ht="20.25" customHeight="1" x14ac:dyDescent="0.2">
      <c r="A682" s="53">
        <v>44568</v>
      </c>
      <c r="B682" s="54"/>
      <c r="C682" s="54"/>
      <c r="D682" s="54"/>
      <c r="E682" s="55">
        <f t="shared" si="72"/>
        <v>46.5</v>
      </c>
      <c r="F682" s="55">
        <f t="shared" si="73"/>
        <v>14.9575</v>
      </c>
      <c r="G682" s="55">
        <f t="shared" si="74"/>
        <v>44.5</v>
      </c>
      <c r="H682" s="55">
        <f>+E682/105.61</f>
        <v>0.44029921408957484</v>
      </c>
      <c r="I682" s="55" t="s">
        <v>249</v>
      </c>
    </row>
    <row r="683" spans="1:9" ht="18.75" customHeight="1" x14ac:dyDescent="0.2">
      <c r="A683" s="53">
        <v>44575</v>
      </c>
      <c r="B683" s="54"/>
      <c r="C683" s="54"/>
      <c r="D683" s="54"/>
      <c r="E683" s="55">
        <f t="shared" si="72"/>
        <v>46.5</v>
      </c>
      <c r="F683" s="55">
        <f t="shared" si="73"/>
        <v>14.9575</v>
      </c>
      <c r="G683" s="55">
        <f t="shared" si="74"/>
        <v>44.5</v>
      </c>
      <c r="H683" s="55">
        <f>+E683/106.04</f>
        <v>0.43851376838928702</v>
      </c>
      <c r="I683" s="55" t="s">
        <v>249</v>
      </c>
    </row>
    <row r="684" spans="1:9" ht="17.25" customHeight="1" x14ac:dyDescent="0.2">
      <c r="A684" s="53">
        <v>44582</v>
      </c>
      <c r="B684" s="54"/>
      <c r="C684" s="54"/>
      <c r="D684" s="54"/>
      <c r="E684" s="55">
        <f t="shared" si="72"/>
        <v>46.5</v>
      </c>
      <c r="F684" s="55">
        <f t="shared" si="73"/>
        <v>14.9575</v>
      </c>
      <c r="G684" s="55">
        <f t="shared" si="74"/>
        <v>44.5</v>
      </c>
      <c r="H684" s="55">
        <f>+E684/106.5</f>
        <v>0.43661971830985913</v>
      </c>
      <c r="I684" s="55" t="s">
        <v>249</v>
      </c>
    </row>
    <row r="685" spans="1:9" ht="17.25" customHeight="1" x14ac:dyDescent="0.2">
      <c r="A685" s="53">
        <v>44589</v>
      </c>
      <c r="B685" s="54"/>
      <c r="C685" s="54"/>
      <c r="D685" s="54"/>
      <c r="E685" s="55">
        <f t="shared" si="72"/>
        <v>46.5</v>
      </c>
      <c r="F685" s="55">
        <f t="shared" si="73"/>
        <v>14.9575</v>
      </c>
      <c r="G685" s="55">
        <f t="shared" si="74"/>
        <v>44.5</v>
      </c>
      <c r="H685" s="55">
        <f>+E685/107</f>
        <v>0.43457943925233644</v>
      </c>
      <c r="I685" s="55" t="s">
        <v>249</v>
      </c>
    </row>
    <row r="686" spans="1:9" ht="21" customHeight="1" x14ac:dyDescent="0.2">
      <c r="A686" s="53">
        <v>44596</v>
      </c>
      <c r="B686" s="54"/>
      <c r="C686" s="54"/>
      <c r="D686" s="54"/>
      <c r="E686" s="55">
        <f t="shared" si="72"/>
        <v>46.5</v>
      </c>
      <c r="F686" s="55">
        <f t="shared" si="73"/>
        <v>14.9575</v>
      </c>
      <c r="G686" s="55">
        <f t="shared" si="74"/>
        <v>44.5</v>
      </c>
      <c r="H686" s="55">
        <f>+E686/107.5</f>
        <v>0.4325581395348837</v>
      </c>
      <c r="I686" s="55">
        <v>1.1299999999999999</v>
      </c>
    </row>
    <row r="687" spans="1:9" ht="23.25" customHeight="1" x14ac:dyDescent="0.2">
      <c r="A687" s="53">
        <v>44603</v>
      </c>
      <c r="B687" s="54"/>
      <c r="C687" s="54"/>
      <c r="D687" s="54"/>
      <c r="E687" s="55">
        <f t="shared" si="72"/>
        <v>46.5</v>
      </c>
      <c r="F687" s="55">
        <f t="shared" si="73"/>
        <v>14.9575</v>
      </c>
      <c r="G687" s="55">
        <f>+(46+45)/2</f>
        <v>45.5</v>
      </c>
      <c r="H687" s="55">
        <f>+E687/108.25</f>
        <v>0.42956120092378752</v>
      </c>
      <c r="I687" s="55">
        <v>1.1299999999999999</v>
      </c>
    </row>
    <row r="688" spans="1:9" ht="21" customHeight="1" x14ac:dyDescent="0.2">
      <c r="A688" s="53">
        <v>44610</v>
      </c>
      <c r="E688" s="55">
        <f t="shared" si="72"/>
        <v>46.5</v>
      </c>
      <c r="F688" s="55">
        <f t="shared" si="73"/>
        <v>14.9575</v>
      </c>
      <c r="G688" s="55">
        <f>+(46+45)/2</f>
        <v>45.5</v>
      </c>
      <c r="H688" s="55">
        <f>+E688/109</f>
        <v>0.42660550458715596</v>
      </c>
      <c r="I688" s="55" t="s">
        <v>249</v>
      </c>
    </row>
    <row r="689" spans="1:11" ht="23.25" customHeight="1" x14ac:dyDescent="0.2">
      <c r="A689" s="53">
        <v>44617</v>
      </c>
      <c r="E689" s="55">
        <f t="shared" si="72"/>
        <v>46.5</v>
      </c>
      <c r="F689" s="55">
        <f t="shared" si="73"/>
        <v>14.9575</v>
      </c>
      <c r="G689" s="55">
        <f t="shared" ref="G689:G713" si="75">+(47+46)/2</f>
        <v>46.5</v>
      </c>
      <c r="H689" s="55">
        <f>+E689/109.5</f>
        <v>0.42465753424657532</v>
      </c>
      <c r="I689" s="55">
        <v>1.18</v>
      </c>
    </row>
    <row r="690" spans="1:11" ht="19.5" customHeight="1" x14ac:dyDescent="0.2">
      <c r="A690" s="53">
        <v>44624</v>
      </c>
      <c r="E690" s="55">
        <f t="shared" si="72"/>
        <v>46.5</v>
      </c>
      <c r="F690" s="55">
        <f t="shared" si="73"/>
        <v>14.9575</v>
      </c>
      <c r="G690" s="55">
        <f t="shared" si="75"/>
        <v>46.5</v>
      </c>
      <c r="H690" s="55">
        <f>+E690/110.25</f>
        <v>0.42176870748299322</v>
      </c>
      <c r="I690" s="55" t="s">
        <v>249</v>
      </c>
    </row>
    <row r="691" spans="1:11" ht="21.75" customHeight="1" x14ac:dyDescent="0.2">
      <c r="A691" s="53">
        <v>44631</v>
      </c>
      <c r="E691" s="55">
        <f t="shared" si="72"/>
        <v>46.5</v>
      </c>
      <c r="F691" s="55">
        <f t="shared" si="73"/>
        <v>14.9575</v>
      </c>
      <c r="G691" s="55">
        <f t="shared" si="75"/>
        <v>46.5</v>
      </c>
      <c r="H691" s="55">
        <f>+E691/111</f>
        <v>0.41891891891891891</v>
      </c>
      <c r="I691" s="55" t="s">
        <v>249</v>
      </c>
    </row>
    <row r="692" spans="1:11" ht="19.5" customHeight="1" x14ac:dyDescent="0.2">
      <c r="A692" s="53">
        <v>44638</v>
      </c>
      <c r="E692" s="55">
        <f t="shared" si="72"/>
        <v>46.5</v>
      </c>
      <c r="F692" s="55">
        <f t="shared" si="73"/>
        <v>14.9575</v>
      </c>
      <c r="G692" s="55">
        <f t="shared" si="75"/>
        <v>46.5</v>
      </c>
      <c r="H692" s="55">
        <f>+E692/111.5</f>
        <v>0.4170403587443946</v>
      </c>
      <c r="I692" s="55">
        <v>1.1000000000000001</v>
      </c>
      <c r="K692" s="56"/>
    </row>
    <row r="693" spans="1:11" ht="22.5" customHeight="1" x14ac:dyDescent="0.2">
      <c r="A693" s="53">
        <v>44645</v>
      </c>
      <c r="E693" s="55">
        <f t="shared" si="72"/>
        <v>46.5</v>
      </c>
      <c r="F693" s="55">
        <f t="shared" si="73"/>
        <v>14.9575</v>
      </c>
      <c r="G693" s="55">
        <f t="shared" si="75"/>
        <v>46.5</v>
      </c>
      <c r="H693" s="55">
        <f>+E693/112.5</f>
        <v>0.41333333333333333</v>
      </c>
      <c r="I693" s="55" t="s">
        <v>249</v>
      </c>
    </row>
    <row r="694" spans="1:11" ht="18.75" customHeight="1" x14ac:dyDescent="0.2">
      <c r="A694" s="53">
        <v>44652</v>
      </c>
      <c r="E694" s="55">
        <f t="shared" si="72"/>
        <v>46.5</v>
      </c>
      <c r="F694" s="55">
        <f t="shared" si="73"/>
        <v>14.9575</v>
      </c>
      <c r="G694" s="55">
        <f t="shared" si="75"/>
        <v>46.5</v>
      </c>
      <c r="H694" s="55">
        <f>+E694/113</f>
        <v>0.41150442477876104</v>
      </c>
      <c r="I694" s="55" t="s">
        <v>249</v>
      </c>
    </row>
    <row r="695" spans="1:11" ht="23.25" customHeight="1" x14ac:dyDescent="0.2">
      <c r="A695" s="53">
        <v>44659</v>
      </c>
      <c r="E695" s="55">
        <f t="shared" si="72"/>
        <v>46.5</v>
      </c>
      <c r="F695" s="55">
        <f t="shared" si="73"/>
        <v>14.9575</v>
      </c>
      <c r="G695" s="55">
        <f t="shared" si="75"/>
        <v>46.5</v>
      </c>
      <c r="H695" s="55">
        <f>+E695/114.25</f>
        <v>0.40700218818380746</v>
      </c>
      <c r="I695" s="55" t="s">
        <v>249</v>
      </c>
    </row>
    <row r="696" spans="1:11" ht="21" customHeight="1" x14ac:dyDescent="0.2">
      <c r="A696" s="53">
        <v>44664</v>
      </c>
      <c r="E696" s="55">
        <f t="shared" si="72"/>
        <v>46.5</v>
      </c>
      <c r="F696" s="55">
        <f t="shared" si="73"/>
        <v>14.9575</v>
      </c>
      <c r="G696" s="55">
        <f t="shared" si="75"/>
        <v>46.5</v>
      </c>
      <c r="H696" s="55">
        <f>+E696/115.25</f>
        <v>0.40347071583514099</v>
      </c>
      <c r="I696" s="55" t="s">
        <v>249</v>
      </c>
    </row>
    <row r="697" spans="1:11" ht="19.5" customHeight="1" x14ac:dyDescent="0.2">
      <c r="A697" s="53">
        <v>44673</v>
      </c>
      <c r="E697" s="55">
        <f t="shared" si="72"/>
        <v>46.5</v>
      </c>
      <c r="F697" s="55">
        <f t="shared" si="73"/>
        <v>14.9575</v>
      </c>
      <c r="G697" s="55">
        <f t="shared" si="75"/>
        <v>46.5</v>
      </c>
      <c r="H697" s="55">
        <f>+E697/116.25</f>
        <v>0.4</v>
      </c>
      <c r="I697" s="55" t="s">
        <v>249</v>
      </c>
    </row>
    <row r="698" spans="1:11" ht="22.5" customHeight="1" x14ac:dyDescent="0.2">
      <c r="A698" s="53">
        <v>44680</v>
      </c>
      <c r="E698" s="55">
        <f t="shared" si="72"/>
        <v>46.5</v>
      </c>
      <c r="F698" s="55">
        <f t="shared" si="73"/>
        <v>14.9575</v>
      </c>
      <c r="G698" s="55">
        <f t="shared" si="75"/>
        <v>46.5</v>
      </c>
      <c r="H698" s="55">
        <f>+E698/116.75</f>
        <v>0.39828693790149894</v>
      </c>
      <c r="I698" s="55" t="s">
        <v>249</v>
      </c>
    </row>
    <row r="699" spans="1:11" ht="19.5" customHeight="1" x14ac:dyDescent="0.2">
      <c r="A699" s="53">
        <v>44687</v>
      </c>
      <c r="E699" s="55">
        <f t="shared" si="72"/>
        <v>46.5</v>
      </c>
      <c r="F699" s="55">
        <f t="shared" si="73"/>
        <v>14.9575</v>
      </c>
      <c r="G699" s="55">
        <f t="shared" si="75"/>
        <v>46.5</v>
      </c>
      <c r="H699" s="55">
        <f>+E699/118.25</f>
        <v>0.39323467230443976</v>
      </c>
      <c r="I699" s="55" t="s">
        <v>249</v>
      </c>
    </row>
    <row r="700" spans="1:11" ht="21.75" customHeight="1" x14ac:dyDescent="0.2">
      <c r="A700" s="53">
        <v>44694</v>
      </c>
      <c r="E700" s="55">
        <f t="shared" si="72"/>
        <v>46.5</v>
      </c>
      <c r="F700" s="55">
        <f t="shared" si="73"/>
        <v>14.9575</v>
      </c>
      <c r="G700" s="55">
        <f t="shared" si="75"/>
        <v>46.5</v>
      </c>
      <c r="H700" s="55">
        <f>+E700/119.5</f>
        <v>0.38912133891213391</v>
      </c>
      <c r="I700" s="55">
        <v>1.04</v>
      </c>
    </row>
    <row r="701" spans="1:11" ht="21.75" customHeight="1" x14ac:dyDescent="0.2">
      <c r="A701" s="53">
        <v>44701</v>
      </c>
      <c r="E701" s="55">
        <f t="shared" si="72"/>
        <v>46.5</v>
      </c>
      <c r="F701" s="55">
        <f t="shared" si="73"/>
        <v>14.9575</v>
      </c>
      <c r="G701" s="55">
        <f t="shared" si="75"/>
        <v>46.5</v>
      </c>
      <c r="H701" s="55">
        <f>+E701/120.5</f>
        <v>0.38589211618257263</v>
      </c>
      <c r="I701" s="55">
        <v>1.03</v>
      </c>
    </row>
    <row r="702" spans="1:11" ht="25.5" customHeight="1" x14ac:dyDescent="0.2">
      <c r="A702" s="53">
        <v>44708</v>
      </c>
      <c r="E702" s="55">
        <f t="shared" si="72"/>
        <v>46.5</v>
      </c>
      <c r="F702" s="55">
        <f t="shared" si="73"/>
        <v>14.9575</v>
      </c>
      <c r="G702" s="55">
        <f t="shared" si="75"/>
        <v>46.5</v>
      </c>
      <c r="H702" s="55">
        <f>+E702/121.25</f>
        <v>0.38350515463917528</v>
      </c>
      <c r="I702" s="55">
        <v>1.05</v>
      </c>
    </row>
    <row r="703" spans="1:11" ht="25.5" customHeight="1" x14ac:dyDescent="0.2">
      <c r="A703" s="53">
        <v>44715</v>
      </c>
      <c r="E703" s="55">
        <f t="shared" si="72"/>
        <v>46.5</v>
      </c>
      <c r="F703" s="55">
        <f t="shared" si="73"/>
        <v>14.9575</v>
      </c>
      <c r="G703" s="55">
        <f t="shared" si="75"/>
        <v>46.5</v>
      </c>
      <c r="H703" s="55">
        <f>+E703/122.5</f>
        <v>0.37959183673469388</v>
      </c>
      <c r="I703" s="55">
        <v>1.05</v>
      </c>
    </row>
    <row r="704" spans="1:11" ht="21" customHeight="1" x14ac:dyDescent="0.2">
      <c r="A704" s="53">
        <v>44722</v>
      </c>
      <c r="E704" s="55">
        <f t="shared" si="72"/>
        <v>46.5</v>
      </c>
      <c r="F704" s="55">
        <f t="shared" si="73"/>
        <v>14.9575</v>
      </c>
      <c r="G704" s="55">
        <f t="shared" si="75"/>
        <v>46.5</v>
      </c>
      <c r="H704" s="55">
        <f>+E704/123.7</f>
        <v>0.37590945836701695</v>
      </c>
      <c r="I704" s="55" t="s">
        <v>249</v>
      </c>
    </row>
    <row r="705" spans="1:13" ht="24.75" customHeight="1" x14ac:dyDescent="0.2">
      <c r="A705" s="53">
        <v>44728</v>
      </c>
      <c r="E705" s="55">
        <f t="shared" si="72"/>
        <v>46.5</v>
      </c>
      <c r="F705" s="55">
        <f t="shared" si="73"/>
        <v>14.9575</v>
      </c>
      <c r="G705" s="55">
        <f t="shared" si="75"/>
        <v>46.5</v>
      </c>
      <c r="H705" s="55">
        <f>+E705/124.75</f>
        <v>0.37274549098196391</v>
      </c>
      <c r="I705" s="55" t="s">
        <v>249</v>
      </c>
    </row>
    <row r="706" spans="1:13" ht="22.5" customHeight="1" x14ac:dyDescent="0.2">
      <c r="A706" s="53">
        <v>44736</v>
      </c>
      <c r="E706" s="55">
        <f t="shared" si="72"/>
        <v>46.5</v>
      </c>
      <c r="F706" s="55">
        <f t="shared" si="73"/>
        <v>14.9575</v>
      </c>
      <c r="G706" s="55">
        <f t="shared" si="75"/>
        <v>46.5</v>
      </c>
      <c r="H706" s="55">
        <f>+E706/125.75</f>
        <v>0.36978131212723658</v>
      </c>
      <c r="I706" s="55">
        <v>1.1200000000000001</v>
      </c>
    </row>
    <row r="707" spans="1:13" ht="21" customHeight="1" x14ac:dyDescent="0.2">
      <c r="A707" s="53">
        <v>44743</v>
      </c>
      <c r="E707" s="55">
        <f t="shared" si="72"/>
        <v>46.5</v>
      </c>
      <c r="F707" s="55">
        <f t="shared" si="73"/>
        <v>14.9575</v>
      </c>
      <c r="G707" s="55">
        <f t="shared" si="75"/>
        <v>46.5</v>
      </c>
      <c r="H707" s="55">
        <f>+E707/127</f>
        <v>0.36614173228346458</v>
      </c>
      <c r="I707" s="55">
        <v>1.1399999999999999</v>
      </c>
    </row>
    <row r="708" spans="1:13" ht="20.25" customHeight="1" x14ac:dyDescent="0.2">
      <c r="A708" s="53">
        <v>44750</v>
      </c>
      <c r="E708" s="55">
        <f t="shared" si="72"/>
        <v>46.5</v>
      </c>
      <c r="F708" s="55">
        <f t="shared" si="73"/>
        <v>14.9575</v>
      </c>
      <c r="G708" s="55">
        <f t="shared" si="75"/>
        <v>46.5</v>
      </c>
      <c r="H708" s="55">
        <f>+E708/129</f>
        <v>0.36046511627906974</v>
      </c>
      <c r="I708" s="55" t="s">
        <v>249</v>
      </c>
    </row>
    <row r="709" spans="1:13" ht="18.75" customHeight="1" x14ac:dyDescent="0.2">
      <c r="A709" s="53">
        <v>44757</v>
      </c>
      <c r="E709" s="55">
        <f t="shared" si="72"/>
        <v>46.5</v>
      </c>
      <c r="F709" s="55">
        <f t="shared" si="73"/>
        <v>14.9575</v>
      </c>
      <c r="G709" s="55">
        <f t="shared" si="75"/>
        <v>46.5</v>
      </c>
      <c r="H709" s="55">
        <f>+E709/131</f>
        <v>0.35496183206106868</v>
      </c>
      <c r="I709" s="55">
        <v>1.1399999999999999</v>
      </c>
    </row>
    <row r="710" spans="1:13" ht="20.25" customHeight="1" x14ac:dyDescent="0.2">
      <c r="A710" s="53">
        <v>44764</v>
      </c>
      <c r="E710" s="55">
        <f t="shared" si="72"/>
        <v>46.5</v>
      </c>
      <c r="F710" s="55">
        <f t="shared" si="73"/>
        <v>14.9575</v>
      </c>
      <c r="G710" s="55">
        <f t="shared" si="75"/>
        <v>46.5</v>
      </c>
      <c r="H710" s="55">
        <f>+E710/132</f>
        <v>0.35227272727272729</v>
      </c>
      <c r="I710" s="55">
        <v>1.1000000000000001</v>
      </c>
    </row>
    <row r="711" spans="1:13" ht="19.5" customHeight="1" x14ac:dyDescent="0.2">
      <c r="A711" s="53">
        <v>44771</v>
      </c>
      <c r="E711" s="55">
        <f t="shared" si="72"/>
        <v>46.5</v>
      </c>
      <c r="F711" s="55">
        <f t="shared" si="73"/>
        <v>14.9575</v>
      </c>
      <c r="G711" s="55">
        <f t="shared" si="75"/>
        <v>46.5</v>
      </c>
      <c r="H711" s="55">
        <f>+E711/133.25</f>
        <v>0.34896810506566606</v>
      </c>
      <c r="I711" s="55">
        <v>1.1000000000000001</v>
      </c>
    </row>
    <row r="712" spans="1:13" ht="19.5" customHeight="1" x14ac:dyDescent="0.2">
      <c r="A712" s="53">
        <v>44778</v>
      </c>
      <c r="E712" s="55">
        <f t="shared" si="72"/>
        <v>46.5</v>
      </c>
      <c r="F712" s="55">
        <f t="shared" si="73"/>
        <v>14.9575</v>
      </c>
      <c r="G712" s="55">
        <f t="shared" si="75"/>
        <v>46.5</v>
      </c>
      <c r="H712" s="55">
        <f>+E712/134</f>
        <v>0.34701492537313433</v>
      </c>
      <c r="I712" s="55">
        <v>1.2</v>
      </c>
    </row>
    <row r="713" spans="1:13" ht="19.5" customHeight="1" x14ac:dyDescent="0.2">
      <c r="A713" s="53">
        <v>44785</v>
      </c>
      <c r="E713" s="55">
        <f t="shared" si="72"/>
        <v>46.5</v>
      </c>
      <c r="F713" s="55">
        <f t="shared" si="73"/>
        <v>14.9575</v>
      </c>
      <c r="G713" s="55">
        <f t="shared" si="75"/>
        <v>46.5</v>
      </c>
      <c r="H713" s="55">
        <f>+E713/135</f>
        <v>0.34444444444444444</v>
      </c>
      <c r="I713" s="55" t="s">
        <v>249</v>
      </c>
    </row>
    <row r="714" spans="1:13" ht="18" customHeight="1" x14ac:dyDescent="0.2">
      <c r="A714" s="53">
        <v>44792</v>
      </c>
      <c r="E714" s="55">
        <f t="shared" si="72"/>
        <v>46.5</v>
      </c>
      <c r="F714" s="55">
        <f t="shared" si="73"/>
        <v>14.9575</v>
      </c>
      <c r="G714" s="55">
        <f t="shared" ref="G714:G720" si="76">+(49+48)/2</f>
        <v>48.5</v>
      </c>
      <c r="H714" s="55">
        <f>+E714/138</f>
        <v>0.33695652173913043</v>
      </c>
      <c r="I714" s="55">
        <v>1.05</v>
      </c>
    </row>
    <row r="715" spans="1:13" ht="18" customHeight="1" x14ac:dyDescent="0.2">
      <c r="A715" s="53">
        <v>44799</v>
      </c>
      <c r="E715" s="55">
        <f t="shared" si="72"/>
        <v>46.5</v>
      </c>
      <c r="F715" s="55">
        <f t="shared" si="73"/>
        <v>14.9575</v>
      </c>
      <c r="G715" s="55">
        <f t="shared" si="76"/>
        <v>48.5</v>
      </c>
      <c r="H715" s="55">
        <f>+E715/138</f>
        <v>0.33695652173913043</v>
      </c>
      <c r="I715" s="55">
        <v>1.05</v>
      </c>
    </row>
    <row r="716" spans="1:13" ht="18" customHeight="1" x14ac:dyDescent="0.2">
      <c r="A716" s="53">
        <v>44806</v>
      </c>
      <c r="E716" s="55">
        <f t="shared" si="72"/>
        <v>46.5</v>
      </c>
      <c r="F716" s="55">
        <f t="shared" si="73"/>
        <v>14.9575</v>
      </c>
      <c r="G716" s="55">
        <f t="shared" si="76"/>
        <v>48.5</v>
      </c>
      <c r="H716" s="55">
        <f>+E716/141</f>
        <v>0.32978723404255317</v>
      </c>
      <c r="I716" s="55" t="s">
        <v>249</v>
      </c>
    </row>
    <row r="717" spans="1:13" ht="18" customHeight="1" x14ac:dyDescent="0.2">
      <c r="A717" s="53">
        <v>44813</v>
      </c>
      <c r="E717" s="55">
        <f t="shared" si="72"/>
        <v>46.5</v>
      </c>
      <c r="F717" s="55">
        <f>+(16+14.88+15+13.45)/4</f>
        <v>14.8325</v>
      </c>
      <c r="G717" s="55">
        <f t="shared" si="76"/>
        <v>48.5</v>
      </c>
      <c r="H717" s="55">
        <f>+E717/143.5</f>
        <v>0.3240418118466899</v>
      </c>
      <c r="I717" s="55" t="s">
        <v>249</v>
      </c>
    </row>
    <row r="718" spans="1:13" ht="18" customHeight="1" x14ac:dyDescent="0.2">
      <c r="A718" s="53">
        <v>44820</v>
      </c>
      <c r="E718" s="55">
        <f t="shared" si="72"/>
        <v>46.5</v>
      </c>
      <c r="F718" s="55">
        <f>+(16+14.88+15+13.45)/4</f>
        <v>14.8325</v>
      </c>
      <c r="G718" s="55">
        <f t="shared" si="76"/>
        <v>48.5</v>
      </c>
      <c r="H718" s="55">
        <f>+E718/145</f>
        <v>0.32068965517241377</v>
      </c>
      <c r="I718" s="55"/>
    </row>
    <row r="719" spans="1:13" ht="18" customHeight="1" x14ac:dyDescent="0.2">
      <c r="A719" s="53">
        <v>44827</v>
      </c>
      <c r="E719" s="55">
        <f t="shared" si="72"/>
        <v>46.5</v>
      </c>
      <c r="F719" s="55">
        <f>+(16+14.88+15+13.45)/4</f>
        <v>14.8325</v>
      </c>
      <c r="G719" s="55">
        <f t="shared" si="76"/>
        <v>48.5</v>
      </c>
      <c r="H719" s="55">
        <f>+E719/147</f>
        <v>0.31632653061224492</v>
      </c>
      <c r="I719" s="55"/>
      <c r="M719" s="57"/>
    </row>
    <row r="720" spans="1:13" ht="18" customHeight="1" x14ac:dyDescent="0.2">
      <c r="A720" s="53">
        <v>44834</v>
      </c>
      <c r="E720" s="55">
        <f t="shared" si="72"/>
        <v>46.5</v>
      </c>
      <c r="F720" s="55">
        <f>+(16+14.88+15+13.45)/4</f>
        <v>14.8325</v>
      </c>
      <c r="G720" s="55">
        <f t="shared" si="76"/>
        <v>48.5</v>
      </c>
      <c r="H720" s="55">
        <f>+E720/149</f>
        <v>0.31208053691275167</v>
      </c>
      <c r="I720" s="55"/>
      <c r="M720" s="57"/>
    </row>
    <row r="721" spans="1:13" ht="18" customHeight="1" x14ac:dyDescent="0.2">
      <c r="A721" s="53">
        <v>44841</v>
      </c>
      <c r="E721" s="55">
        <f>+(44+45)/2</f>
        <v>44.5</v>
      </c>
      <c r="F721" s="55">
        <f>+(14+13.02+13+12.09)/4</f>
        <v>13.0275</v>
      </c>
      <c r="G721" s="55">
        <f>+(47+46)/2</f>
        <v>46.5</v>
      </c>
      <c r="H721" s="55">
        <f>+E721/151.25</f>
        <v>0.29421487603305785</v>
      </c>
      <c r="I721" s="55"/>
      <c r="M721" s="57"/>
    </row>
    <row r="722" spans="1:13" ht="18" customHeight="1" x14ac:dyDescent="0.2">
      <c r="A722" s="53">
        <v>44848</v>
      </c>
      <c r="E722" s="55">
        <f>+(43+42)/2</f>
        <v>42.5</v>
      </c>
      <c r="F722" s="55">
        <f>+(12+11.16+11+10.23)/4</f>
        <v>11.0975</v>
      </c>
      <c r="G722" s="55">
        <f>+(45+44)/2</f>
        <v>44.5</v>
      </c>
      <c r="H722" s="55">
        <f>+E722/153.25</f>
        <v>0.27732463295269166</v>
      </c>
      <c r="I722" s="55"/>
      <c r="M722" s="57"/>
    </row>
    <row r="723" spans="1:13" ht="18" customHeight="1" x14ac:dyDescent="0.2">
      <c r="A723" s="53">
        <v>44855</v>
      </c>
      <c r="E723" s="55">
        <f>+(41+40)/2</f>
        <v>40.5</v>
      </c>
      <c r="F723" s="55">
        <f>+(10+9.3+9+8.34)/4</f>
        <v>9.16</v>
      </c>
      <c r="G723" s="55">
        <f>+(43+42)/2</f>
        <v>42.5</v>
      </c>
      <c r="H723" s="55">
        <f>+E723/155.5</f>
        <v>0.26045016077170419</v>
      </c>
      <c r="I723" s="55"/>
      <c r="M723" s="57"/>
    </row>
    <row r="724" spans="1:13" ht="18" customHeight="1" x14ac:dyDescent="0.2">
      <c r="A724" s="53">
        <v>44862</v>
      </c>
      <c r="E724" s="55">
        <f>+(39+38)/2</f>
        <v>38.5</v>
      </c>
      <c r="F724" s="55">
        <f>+(8+7.44+7+6.51)/4</f>
        <v>7.2375000000000007</v>
      </c>
      <c r="G724" s="55">
        <f>+(41+40)/2</f>
        <v>40.5</v>
      </c>
      <c r="H724" s="55">
        <f>+E724/157.5</f>
        <v>0.24444444444444444</v>
      </c>
      <c r="I724" s="55"/>
    </row>
    <row r="725" spans="1:13" ht="18" customHeight="1" x14ac:dyDescent="0.2">
      <c r="A725" s="53">
        <v>44869</v>
      </c>
      <c r="E725" s="55">
        <f>+(37+36)/2</f>
        <v>36.5</v>
      </c>
      <c r="F725" s="55">
        <f>+(6+5.58+5+4.65)/4</f>
        <v>5.3074999999999992</v>
      </c>
      <c r="G725" s="55">
        <f>+(39+38)/2</f>
        <v>38.5</v>
      </c>
      <c r="H725" s="55">
        <f>+E725/160</f>
        <v>0.22812499999999999</v>
      </c>
      <c r="I725" s="55"/>
    </row>
    <row r="726" spans="1:13" ht="18" customHeight="1" x14ac:dyDescent="0.2">
      <c r="A726" s="53">
        <v>44876</v>
      </c>
      <c r="E726" s="55">
        <f>+(36+35)/2</f>
        <v>35.5</v>
      </c>
      <c r="F726" s="55">
        <f>+(5+4.65+4+3.72)/4</f>
        <v>4.3425000000000002</v>
      </c>
      <c r="G726" s="55">
        <f>+(38+37)/2</f>
        <v>37.5</v>
      </c>
      <c r="H726" s="55">
        <f>+E726/163</f>
        <v>0.21779141104294478</v>
      </c>
      <c r="I726" s="58"/>
    </row>
    <row r="727" spans="1:13" ht="18" customHeight="1" x14ac:dyDescent="0.2">
      <c r="A727" s="53">
        <v>44883</v>
      </c>
      <c r="E727" s="55">
        <f>+(35+34)/2</f>
        <v>34.5</v>
      </c>
      <c r="F727" s="55">
        <f>+(4+3.72+3+2.79)/4</f>
        <v>3.3775000000000004</v>
      </c>
      <c r="G727" s="55">
        <f>+(37+36)/2</f>
        <v>36.5</v>
      </c>
      <c r="H727" s="55">
        <f>+E727/165.25</f>
        <v>0.20877458396369139</v>
      </c>
      <c r="I727" s="58"/>
    </row>
    <row r="728" spans="1:13" ht="18" customHeight="1" x14ac:dyDescent="0.2">
      <c r="A728" s="53">
        <v>44890</v>
      </c>
      <c r="E728" s="55">
        <f>+(33+34)/2</f>
        <v>33.5</v>
      </c>
      <c r="F728" s="55">
        <f>+(2+1.86+3+2.79)/4</f>
        <v>2.4125000000000001</v>
      </c>
      <c r="G728" s="55">
        <f>+(35+36)/2</f>
        <v>35.5</v>
      </c>
      <c r="H728" s="55">
        <f>+E728/167.75</f>
        <v>0.19970193740685543</v>
      </c>
      <c r="I728" s="58"/>
    </row>
    <row r="729" spans="1:13" ht="18" customHeight="1" x14ac:dyDescent="0.2">
      <c r="A729" s="53">
        <v>44897</v>
      </c>
      <c r="E729" s="55">
        <f>+(33+32)/2</f>
        <v>32.5</v>
      </c>
      <c r="F729" s="55">
        <f t="shared" ref="F729:F765" si="77">+(2+1.86+1+0.93)/4</f>
        <v>1.4475</v>
      </c>
      <c r="G729" s="55">
        <f>+(35+34)/2</f>
        <v>34.5</v>
      </c>
      <c r="H729" s="55">
        <f>+E729/170.25</f>
        <v>0.19089574155653452</v>
      </c>
      <c r="I729" s="58"/>
    </row>
    <row r="730" spans="1:13" ht="18" customHeight="1" x14ac:dyDescent="0.2">
      <c r="A730" s="53">
        <v>44903</v>
      </c>
      <c r="E730" s="55">
        <f>+(31+32)/2</f>
        <v>31.5</v>
      </c>
      <c r="F730" s="55">
        <f t="shared" si="77"/>
        <v>1.4475</v>
      </c>
      <c r="G730" s="55">
        <f>+(33+34)/2</f>
        <v>33.5</v>
      </c>
      <c r="H730" s="55">
        <f>+E730/172</f>
        <v>0.18313953488372092</v>
      </c>
      <c r="I730" s="58"/>
    </row>
    <row r="731" spans="1:13" ht="18" customHeight="1" x14ac:dyDescent="0.2">
      <c r="A731" s="53">
        <v>44911</v>
      </c>
      <c r="E731" s="55">
        <f>+(31+30)/2</f>
        <v>30.5</v>
      </c>
      <c r="F731" s="55">
        <f t="shared" si="77"/>
        <v>1.4475</v>
      </c>
      <c r="G731" s="55">
        <f>+(33+32)/2</f>
        <v>32.5</v>
      </c>
      <c r="H731" s="55">
        <f>+E731/174.5</f>
        <v>0.17478510028653296</v>
      </c>
      <c r="I731" s="58"/>
    </row>
    <row r="732" spans="1:13" ht="18" customHeight="1" x14ac:dyDescent="0.2">
      <c r="A732" s="53">
        <v>44917</v>
      </c>
      <c r="E732" s="55">
        <f>+(29+30)/2</f>
        <v>29.5</v>
      </c>
      <c r="F732" s="55">
        <f t="shared" si="77"/>
        <v>1.4475</v>
      </c>
      <c r="G732" s="55">
        <f>+(31+32)/2</f>
        <v>31.5</v>
      </c>
      <c r="H732" s="55">
        <f>+E732/176.5</f>
        <v>0.16713881019830029</v>
      </c>
      <c r="I732" s="58"/>
    </row>
    <row r="733" spans="1:13" ht="18" customHeight="1" x14ac:dyDescent="0.2">
      <c r="A733" s="53">
        <v>44924</v>
      </c>
      <c r="E733" s="55">
        <f>+(29+28)/2</f>
        <v>28.5</v>
      </c>
      <c r="F733" s="55">
        <f t="shared" si="77"/>
        <v>1.4475</v>
      </c>
      <c r="G733" s="55">
        <f>+(31+30)/2</f>
        <v>30.5</v>
      </c>
      <c r="H733" s="55">
        <f>+E733/179</f>
        <v>0.15921787709497207</v>
      </c>
      <c r="I733" s="58"/>
    </row>
    <row r="734" spans="1:13" ht="18" customHeight="1" x14ac:dyDescent="0.2">
      <c r="A734" s="59">
        <v>44932</v>
      </c>
      <c r="B734" s="60"/>
      <c r="C734" s="60"/>
      <c r="D734" s="60"/>
      <c r="E734" s="61">
        <f>+(27+28)/2</f>
        <v>27.5</v>
      </c>
      <c r="F734" s="61">
        <f t="shared" si="77"/>
        <v>1.4475</v>
      </c>
      <c r="G734" s="61">
        <f>+(29+30)/2</f>
        <v>29.5</v>
      </c>
      <c r="H734" s="61">
        <f>+E734/181.75</f>
        <v>0.15130674002751032</v>
      </c>
      <c r="I734" s="62"/>
    </row>
    <row r="735" spans="1:13" ht="18" customHeight="1" x14ac:dyDescent="0.2">
      <c r="A735" s="59">
        <v>44574</v>
      </c>
      <c r="B735" s="60"/>
      <c r="C735" s="60"/>
      <c r="D735" s="60"/>
      <c r="E735" s="61">
        <f>+(27+28)/2</f>
        <v>27.5</v>
      </c>
      <c r="F735" s="61">
        <f t="shared" si="77"/>
        <v>1.4475</v>
      </c>
      <c r="G735" s="61">
        <f>+(29+30)/2</f>
        <v>29.5</v>
      </c>
      <c r="H735" s="61">
        <f>+E735/183.75</f>
        <v>0.14965986394557823</v>
      </c>
      <c r="I735" s="62"/>
    </row>
    <row r="736" spans="1:13" ht="18" customHeight="1" x14ac:dyDescent="0.2">
      <c r="A736" s="59">
        <v>44581</v>
      </c>
      <c r="B736" s="60"/>
      <c r="C736" s="60"/>
      <c r="D736" s="60"/>
      <c r="E736" s="61">
        <f>+(27+28)/2</f>
        <v>27.5</v>
      </c>
      <c r="F736" s="61">
        <f t="shared" si="77"/>
        <v>1.4475</v>
      </c>
      <c r="G736" s="61">
        <f>+(29+30)/2</f>
        <v>29.5</v>
      </c>
      <c r="H736" s="61">
        <f>+E736/185.25</f>
        <v>0.1484480431848853</v>
      </c>
      <c r="I736" s="62"/>
    </row>
    <row r="737" spans="1:9" ht="18" customHeight="1" x14ac:dyDescent="0.2">
      <c r="A737" s="59">
        <v>44953</v>
      </c>
      <c r="B737" s="60"/>
      <c r="C737" s="60"/>
      <c r="D737" s="60"/>
      <c r="E737" s="61">
        <f t="shared" ref="E737:E753" si="78">+(27+26)/2</f>
        <v>26.5</v>
      </c>
      <c r="F737" s="61">
        <f t="shared" si="77"/>
        <v>1.4475</v>
      </c>
      <c r="G737" s="61">
        <f t="shared" ref="G737:G753" si="79">+(29+28)/2</f>
        <v>28.5</v>
      </c>
      <c r="H737" s="61">
        <f>+E737/188.25</f>
        <v>0.1407702523240372</v>
      </c>
      <c r="I737" s="62"/>
    </row>
    <row r="738" spans="1:9" ht="18" customHeight="1" x14ac:dyDescent="0.2">
      <c r="A738" s="59">
        <v>44960</v>
      </c>
      <c r="B738" s="60"/>
      <c r="C738" s="60"/>
      <c r="D738" s="60"/>
      <c r="E738" s="61">
        <f t="shared" si="78"/>
        <v>26.5</v>
      </c>
      <c r="F738" s="61">
        <f t="shared" si="77"/>
        <v>1.4475</v>
      </c>
      <c r="G738" s="61">
        <f t="shared" si="79"/>
        <v>28.5</v>
      </c>
      <c r="H738" s="61">
        <f>+E738/190.5</f>
        <v>0.13910761154855644</v>
      </c>
      <c r="I738" s="62"/>
    </row>
    <row r="739" spans="1:9" ht="18" customHeight="1" x14ac:dyDescent="0.2">
      <c r="A739" s="59">
        <v>44967</v>
      </c>
      <c r="B739" s="60"/>
      <c r="C739" s="60"/>
      <c r="D739" s="60"/>
      <c r="E739" s="61">
        <f t="shared" si="78"/>
        <v>26.5</v>
      </c>
      <c r="F739" s="61">
        <f t="shared" si="77"/>
        <v>1.4475</v>
      </c>
      <c r="G739" s="61">
        <f t="shared" si="79"/>
        <v>28.5</v>
      </c>
      <c r="H739" s="61">
        <f>+E739/192.25</f>
        <v>0.13784135240572171</v>
      </c>
      <c r="I739" s="62"/>
    </row>
    <row r="740" spans="1:9" ht="18" customHeight="1" x14ac:dyDescent="0.2">
      <c r="A740" s="59">
        <v>44974</v>
      </c>
      <c r="B740" s="60"/>
      <c r="C740" s="60"/>
      <c r="D740" s="60"/>
      <c r="E740" s="61">
        <f t="shared" si="78"/>
        <v>26.5</v>
      </c>
      <c r="F740" s="61">
        <f t="shared" si="77"/>
        <v>1.4475</v>
      </c>
      <c r="G740" s="61">
        <f t="shared" si="79"/>
        <v>28.5</v>
      </c>
      <c r="H740" s="61">
        <f>+E740/194.5</f>
        <v>0.13624678663239073</v>
      </c>
      <c r="I740" s="62"/>
    </row>
    <row r="741" spans="1:9" ht="18" customHeight="1" x14ac:dyDescent="0.2">
      <c r="A741" s="59">
        <v>44981</v>
      </c>
      <c r="B741" s="60"/>
      <c r="C741" s="60"/>
      <c r="D741" s="60"/>
      <c r="E741" s="61">
        <f t="shared" si="78"/>
        <v>26.5</v>
      </c>
      <c r="F741" s="61">
        <f t="shared" si="77"/>
        <v>1.4475</v>
      </c>
      <c r="G741" s="61">
        <f t="shared" si="79"/>
        <v>28.5</v>
      </c>
      <c r="H741" s="61">
        <f>+E741/198</f>
        <v>0.13383838383838384</v>
      </c>
      <c r="I741" s="62"/>
    </row>
    <row r="742" spans="1:9" ht="18" customHeight="1" x14ac:dyDescent="0.2">
      <c r="A742" s="59">
        <v>44988</v>
      </c>
      <c r="B742" s="60"/>
      <c r="C742" s="60"/>
      <c r="D742" s="60"/>
      <c r="E742" s="61">
        <f t="shared" si="78"/>
        <v>26.5</v>
      </c>
      <c r="F742" s="61">
        <f t="shared" si="77"/>
        <v>1.4475</v>
      </c>
      <c r="G742" s="61">
        <f t="shared" si="79"/>
        <v>28.5</v>
      </c>
      <c r="H742" s="61">
        <f>+E742/201</f>
        <v>0.13184079601990051</v>
      </c>
      <c r="I742" s="62"/>
    </row>
    <row r="743" spans="1:9" ht="18" customHeight="1" x14ac:dyDescent="0.2">
      <c r="A743" s="59">
        <v>44995</v>
      </c>
      <c r="B743" s="60"/>
      <c r="C743" s="60"/>
      <c r="D743" s="60"/>
      <c r="E743" s="61">
        <f t="shared" si="78"/>
        <v>26.5</v>
      </c>
      <c r="F743" s="61">
        <f t="shared" si="77"/>
        <v>1.4475</v>
      </c>
      <c r="G743" s="61">
        <f t="shared" si="79"/>
        <v>28.5</v>
      </c>
      <c r="H743" s="61">
        <f>+E743/202.75</f>
        <v>0.13070283600493218</v>
      </c>
      <c r="I743" s="62"/>
    </row>
    <row r="744" spans="1:9" ht="18" customHeight="1" x14ac:dyDescent="0.2">
      <c r="A744" s="59">
        <v>45002</v>
      </c>
      <c r="B744" s="60"/>
      <c r="C744" s="60"/>
      <c r="D744" s="60"/>
      <c r="E744" s="61">
        <f t="shared" si="78"/>
        <v>26.5</v>
      </c>
      <c r="F744" s="61">
        <f t="shared" si="77"/>
        <v>1.4475</v>
      </c>
      <c r="G744" s="61">
        <f t="shared" si="79"/>
        <v>28.5</v>
      </c>
      <c r="H744" s="61">
        <f>+E744/205.5</f>
        <v>0.12895377128953772</v>
      </c>
      <c r="I744" s="62"/>
    </row>
    <row r="745" spans="1:9" ht="18" customHeight="1" x14ac:dyDescent="0.2">
      <c r="A745" s="59">
        <v>45008</v>
      </c>
      <c r="B745" s="60"/>
      <c r="C745" s="60"/>
      <c r="D745" s="60"/>
      <c r="E745" s="61">
        <v>27</v>
      </c>
      <c r="F745" s="61">
        <f t="shared" si="77"/>
        <v>1.4475</v>
      </c>
      <c r="G745" s="61">
        <f t="shared" si="79"/>
        <v>28.5</v>
      </c>
      <c r="H745" s="61">
        <f>+E745/208.25</f>
        <v>0.12965186074429771</v>
      </c>
      <c r="I745" s="62"/>
    </row>
    <row r="746" spans="1:9" ht="18" customHeight="1" x14ac:dyDescent="0.2">
      <c r="A746" s="59">
        <v>45016</v>
      </c>
      <c r="B746" s="60"/>
      <c r="C746" s="60"/>
      <c r="D746" s="60"/>
      <c r="E746" s="61">
        <f t="shared" si="78"/>
        <v>26.5</v>
      </c>
      <c r="F746" s="61">
        <f t="shared" si="77"/>
        <v>1.4475</v>
      </c>
      <c r="G746" s="61">
        <f t="shared" si="79"/>
        <v>28.5</v>
      </c>
      <c r="H746" s="61">
        <f>+E746/211.5</f>
        <v>0.12529550827423167</v>
      </c>
      <c r="I746" s="62"/>
    </row>
    <row r="747" spans="1:9" ht="18" customHeight="1" x14ac:dyDescent="0.2">
      <c r="A747" s="59">
        <v>45021</v>
      </c>
      <c r="B747" s="60"/>
      <c r="C747" s="60"/>
      <c r="D747" s="60"/>
      <c r="E747" s="61">
        <f t="shared" si="78"/>
        <v>26.5</v>
      </c>
      <c r="F747" s="61">
        <f t="shared" si="77"/>
        <v>1.4475</v>
      </c>
      <c r="G747" s="61">
        <f t="shared" si="79"/>
        <v>28.5</v>
      </c>
      <c r="H747" s="61">
        <f>+E747/213.5</f>
        <v>0.12412177985948478</v>
      </c>
      <c r="I747" s="62"/>
    </row>
    <row r="748" spans="1:9" ht="18" customHeight="1" x14ac:dyDescent="0.2">
      <c r="A748" s="59">
        <v>45030</v>
      </c>
      <c r="B748" s="60"/>
      <c r="C748" s="60"/>
      <c r="D748" s="60"/>
      <c r="E748" s="61">
        <f t="shared" si="78"/>
        <v>26.5</v>
      </c>
      <c r="F748" s="61">
        <f t="shared" si="77"/>
        <v>1.4475</v>
      </c>
      <c r="G748" s="61">
        <f t="shared" si="79"/>
        <v>28.5</v>
      </c>
      <c r="H748" s="61">
        <f>+E748/216.75</f>
        <v>0.12226066897347174</v>
      </c>
      <c r="I748" s="62"/>
    </row>
    <row r="749" spans="1:9" ht="18" customHeight="1" x14ac:dyDescent="0.2">
      <c r="A749" s="59">
        <v>45037</v>
      </c>
      <c r="B749" s="60"/>
      <c r="C749" s="60"/>
      <c r="D749" s="60"/>
      <c r="E749" s="61">
        <f t="shared" si="78"/>
        <v>26.5</v>
      </c>
      <c r="F749" s="61">
        <f t="shared" si="77"/>
        <v>1.4475</v>
      </c>
      <c r="G749" s="61">
        <f t="shared" si="79"/>
        <v>28.5</v>
      </c>
      <c r="H749" s="61">
        <f>+E749/220.5</f>
        <v>0.12018140589569161</v>
      </c>
      <c r="I749" s="62"/>
    </row>
    <row r="750" spans="1:9" ht="18" customHeight="1" x14ac:dyDescent="0.2">
      <c r="A750" s="59">
        <v>45044</v>
      </c>
      <c r="B750" s="60"/>
      <c r="C750" s="60"/>
      <c r="D750" s="60"/>
      <c r="E750" s="61">
        <f t="shared" si="78"/>
        <v>26.5</v>
      </c>
      <c r="F750" s="61">
        <f t="shared" si="77"/>
        <v>1.4475</v>
      </c>
      <c r="G750" s="61">
        <f t="shared" si="79"/>
        <v>28.5</v>
      </c>
      <c r="H750" s="61">
        <f>+E750/220.5</f>
        <v>0.12018140589569161</v>
      </c>
      <c r="I750" s="62"/>
    </row>
    <row r="751" spans="1:9" ht="18" customHeight="1" x14ac:dyDescent="0.2">
      <c r="A751" s="59">
        <v>45051</v>
      </c>
      <c r="B751" s="60"/>
      <c r="C751" s="60"/>
      <c r="D751" s="60"/>
      <c r="E751" s="61">
        <f t="shared" si="78"/>
        <v>26.5</v>
      </c>
      <c r="F751" s="61">
        <f t="shared" si="77"/>
        <v>1.4475</v>
      </c>
      <c r="G751" s="61">
        <f t="shared" si="79"/>
        <v>28.5</v>
      </c>
      <c r="H751" s="61">
        <f>+E751/229</f>
        <v>0.11572052401746726</v>
      </c>
      <c r="I751" s="62"/>
    </row>
    <row r="752" spans="1:9" ht="18" customHeight="1" x14ac:dyDescent="0.2">
      <c r="A752" s="59">
        <v>45058</v>
      </c>
      <c r="B752" s="60"/>
      <c r="C752" s="60"/>
      <c r="D752" s="60"/>
      <c r="E752" s="61">
        <f t="shared" si="78"/>
        <v>26.5</v>
      </c>
      <c r="F752" s="61">
        <f t="shared" si="77"/>
        <v>1.4475</v>
      </c>
      <c r="G752" s="61">
        <f t="shared" si="79"/>
        <v>28.5</v>
      </c>
      <c r="H752" s="61">
        <f>+E752/233</f>
        <v>0.11373390557939914</v>
      </c>
      <c r="I752" s="62"/>
    </row>
    <row r="753" spans="1:9" ht="18" customHeight="1" x14ac:dyDescent="0.2">
      <c r="A753" s="59">
        <v>45065</v>
      </c>
      <c r="B753" s="60"/>
      <c r="C753" s="60"/>
      <c r="D753" s="60"/>
      <c r="E753" s="61">
        <f t="shared" si="78"/>
        <v>26.5</v>
      </c>
      <c r="F753" s="61">
        <f t="shared" si="77"/>
        <v>1.4475</v>
      </c>
      <c r="G753" s="61">
        <f t="shared" si="79"/>
        <v>28.5</v>
      </c>
      <c r="H753" s="61">
        <f>+E753/236.5</f>
        <v>0.11205073995771671</v>
      </c>
      <c r="I753" s="62"/>
    </row>
    <row r="754" spans="1:9" ht="18" customHeight="1" x14ac:dyDescent="0.2">
      <c r="A754" s="59">
        <v>45070</v>
      </c>
      <c r="B754" s="60"/>
      <c r="C754" s="60"/>
      <c r="D754" s="60"/>
      <c r="E754" s="61">
        <f t="shared" ref="E754:E765" si="80">+(27+28)/2</f>
        <v>27.5</v>
      </c>
      <c r="F754" s="61">
        <f t="shared" si="77"/>
        <v>1.4475</v>
      </c>
      <c r="G754" s="61">
        <f t="shared" ref="G754:G765" si="81">+(29+30)/2</f>
        <v>29.5</v>
      </c>
      <c r="H754" s="61">
        <f>+E754/239</f>
        <v>0.11506276150627615</v>
      </c>
      <c r="I754" s="62"/>
    </row>
    <row r="755" spans="1:9" ht="18" customHeight="1" x14ac:dyDescent="0.2">
      <c r="A755" s="59">
        <v>45079</v>
      </c>
      <c r="B755" s="60"/>
      <c r="C755" s="60"/>
      <c r="D755" s="60"/>
      <c r="E755" s="61">
        <f t="shared" si="80"/>
        <v>27.5</v>
      </c>
      <c r="F755" s="61">
        <f t="shared" si="77"/>
        <v>1.4475</v>
      </c>
      <c r="G755" s="61">
        <f t="shared" si="81"/>
        <v>29.5</v>
      </c>
      <c r="H755" s="61">
        <f>+E755/243.5</f>
        <v>0.11293634496919917</v>
      </c>
      <c r="I755" s="62"/>
    </row>
    <row r="756" spans="1:9" ht="18" customHeight="1" x14ac:dyDescent="0.2">
      <c r="A756" s="59">
        <v>45086</v>
      </c>
      <c r="B756" s="60"/>
      <c r="C756" s="60"/>
      <c r="D756" s="60"/>
      <c r="E756" s="61">
        <f t="shared" si="80"/>
        <v>27.5</v>
      </c>
      <c r="F756" s="61">
        <f t="shared" si="77"/>
        <v>1.4475</v>
      </c>
      <c r="G756" s="61">
        <f t="shared" si="81"/>
        <v>29.5</v>
      </c>
      <c r="H756" s="61">
        <f>+E756/247.5</f>
        <v>0.1111111111111111</v>
      </c>
      <c r="I756" s="62"/>
    </row>
    <row r="757" spans="1:9" ht="18" customHeight="1" x14ac:dyDescent="0.2">
      <c r="A757" s="59">
        <v>45093</v>
      </c>
      <c r="B757" s="60"/>
      <c r="C757" s="60"/>
      <c r="D757" s="60"/>
      <c r="E757" s="61">
        <f t="shared" si="80"/>
        <v>27.5</v>
      </c>
      <c r="F757" s="61">
        <f t="shared" si="77"/>
        <v>1.4475</v>
      </c>
      <c r="G757" s="61">
        <f t="shared" si="81"/>
        <v>29.5</v>
      </c>
      <c r="H757" s="61">
        <f>+E757/251.5</f>
        <v>0.10934393638170974</v>
      </c>
      <c r="I757" s="62"/>
    </row>
    <row r="758" spans="1:9" ht="18" customHeight="1" x14ac:dyDescent="0.2">
      <c r="A758" s="59">
        <v>45100</v>
      </c>
      <c r="B758" s="60"/>
      <c r="C758" s="60"/>
      <c r="D758" s="60"/>
      <c r="E758" s="61">
        <f t="shared" si="80"/>
        <v>27.5</v>
      </c>
      <c r="F758" s="61">
        <f t="shared" si="77"/>
        <v>1.4475</v>
      </c>
      <c r="G758" s="61">
        <f t="shared" si="81"/>
        <v>29.5</v>
      </c>
      <c r="H758" s="61">
        <f>+E758/257</f>
        <v>0.10700389105058365</v>
      </c>
      <c r="I758" s="62"/>
    </row>
    <row r="759" spans="1:9" ht="18" customHeight="1" x14ac:dyDescent="0.2">
      <c r="A759" s="59">
        <v>45107</v>
      </c>
      <c r="B759" s="60"/>
      <c r="C759" s="60"/>
      <c r="D759" s="60"/>
      <c r="E759" s="61">
        <f t="shared" si="80"/>
        <v>27.5</v>
      </c>
      <c r="F759" s="61">
        <f t="shared" si="77"/>
        <v>1.4475</v>
      </c>
      <c r="G759" s="61">
        <f t="shared" si="81"/>
        <v>29.5</v>
      </c>
      <c r="H759" s="61">
        <f>+E759/260.5</f>
        <v>0.10556621880998081</v>
      </c>
      <c r="I759" s="62"/>
    </row>
    <row r="760" spans="1:9" ht="18" customHeight="1" x14ac:dyDescent="0.2">
      <c r="A760" s="59">
        <v>45114</v>
      </c>
      <c r="B760" s="60"/>
      <c r="C760" s="60"/>
      <c r="D760" s="60"/>
      <c r="E760" s="61">
        <f t="shared" si="80"/>
        <v>27.5</v>
      </c>
      <c r="F760" s="61">
        <f t="shared" si="77"/>
        <v>1.4475</v>
      </c>
      <c r="G760" s="61">
        <f t="shared" si="81"/>
        <v>29.5</v>
      </c>
      <c r="H760" s="61">
        <f>+E760/260.5</f>
        <v>0.10556621880998081</v>
      </c>
      <c r="I760" s="62"/>
    </row>
    <row r="761" spans="1:9" ht="18" customHeight="1" x14ac:dyDescent="0.2">
      <c r="A761" s="59">
        <v>45121</v>
      </c>
      <c r="B761" s="60"/>
      <c r="C761" s="60"/>
      <c r="D761" s="60"/>
      <c r="E761" s="61">
        <f t="shared" si="80"/>
        <v>27.5</v>
      </c>
      <c r="F761" s="61">
        <f t="shared" si="77"/>
        <v>1.4475</v>
      </c>
      <c r="G761" s="61">
        <f t="shared" si="81"/>
        <v>29.5</v>
      </c>
      <c r="H761" s="61">
        <f>+E761/270</f>
        <v>0.10185185185185185</v>
      </c>
      <c r="I761" s="62"/>
    </row>
    <row r="762" spans="1:9" ht="18" customHeight="1" x14ac:dyDescent="0.2">
      <c r="A762" s="59">
        <v>45128</v>
      </c>
      <c r="B762" s="60"/>
      <c r="C762" s="60"/>
      <c r="D762" s="60"/>
      <c r="E762" s="61">
        <f t="shared" si="80"/>
        <v>27.5</v>
      </c>
      <c r="F762" s="61">
        <f t="shared" si="77"/>
        <v>1.4475</v>
      </c>
      <c r="G762" s="61">
        <f t="shared" si="81"/>
        <v>29.5</v>
      </c>
      <c r="H762" s="61">
        <f>+E762/273.5</f>
        <v>0.10054844606946983</v>
      </c>
      <c r="I762" s="62"/>
    </row>
    <row r="763" spans="1:9" ht="18" customHeight="1" x14ac:dyDescent="0.2">
      <c r="A763" s="59">
        <v>45135</v>
      </c>
      <c r="B763" s="60"/>
      <c r="C763" s="60"/>
      <c r="D763" s="60"/>
      <c r="E763" s="61">
        <f t="shared" si="80"/>
        <v>27.5</v>
      </c>
      <c r="F763" s="61">
        <f t="shared" si="77"/>
        <v>1.4475</v>
      </c>
      <c r="G763" s="61">
        <f t="shared" si="81"/>
        <v>29.5</v>
      </c>
      <c r="H763" s="61">
        <f>+E763/277.5</f>
        <v>9.90990990990991E-2</v>
      </c>
      <c r="I763" s="62"/>
    </row>
    <row r="764" spans="1:9" ht="18" customHeight="1" x14ac:dyDescent="0.2">
      <c r="A764" s="59">
        <v>45142</v>
      </c>
      <c r="B764" s="60"/>
      <c r="C764" s="60"/>
      <c r="D764" s="60"/>
      <c r="E764" s="61">
        <f t="shared" si="80"/>
        <v>27.5</v>
      </c>
      <c r="F764" s="61">
        <f t="shared" si="77"/>
        <v>1.4475</v>
      </c>
      <c r="G764" s="61">
        <f t="shared" si="81"/>
        <v>29.5</v>
      </c>
      <c r="H764" s="61">
        <f>+E764/283.5</f>
        <v>9.700176366843033E-2</v>
      </c>
      <c r="I764" s="62"/>
    </row>
    <row r="765" spans="1:9" ht="18" customHeight="1" x14ac:dyDescent="0.2">
      <c r="A765" s="59">
        <v>45149</v>
      </c>
      <c r="B765" s="60"/>
      <c r="C765" s="60"/>
      <c r="D765" s="60"/>
      <c r="E765" s="61">
        <f t="shared" si="80"/>
        <v>27.5</v>
      </c>
      <c r="F765" s="61">
        <f t="shared" si="77"/>
        <v>1.4475</v>
      </c>
      <c r="G765" s="61">
        <f t="shared" si="81"/>
        <v>29.5</v>
      </c>
      <c r="H765" s="61">
        <f>+E765/283.5</f>
        <v>9.700176366843033E-2</v>
      </c>
      <c r="I765" s="62"/>
    </row>
    <row r="766" spans="1:9" ht="18" customHeight="1" x14ac:dyDescent="0.2">
      <c r="A766" s="59">
        <v>45156</v>
      </c>
      <c r="B766" s="60"/>
      <c r="C766" s="60"/>
      <c r="D766" s="60"/>
      <c r="E766" s="61" t="s">
        <v>254</v>
      </c>
      <c r="F766" s="61" t="s">
        <v>254</v>
      </c>
      <c r="G766" s="61" t="s">
        <v>254</v>
      </c>
      <c r="H766" s="61" t="e">
        <f>+E766/283.5</f>
        <v>#VALUE!</v>
      </c>
      <c r="I766" s="62"/>
    </row>
    <row r="767" spans="1:9" ht="18" customHeight="1" x14ac:dyDescent="0.2">
      <c r="A767" s="59">
        <v>45163</v>
      </c>
      <c r="B767" s="60"/>
      <c r="C767" s="60"/>
      <c r="D767" s="60"/>
      <c r="E767" s="61">
        <f>+(45+43)/2</f>
        <v>44</v>
      </c>
      <c r="F767" s="61">
        <f>+(20+18.6+18+16.74)/4</f>
        <v>18.335000000000001</v>
      </c>
      <c r="G767" s="61">
        <f>+(47+46)/2</f>
        <v>46.5</v>
      </c>
      <c r="H767" s="61">
        <f>+E767/356.5</f>
        <v>0.12342215988779803</v>
      </c>
      <c r="I767" s="62"/>
    </row>
    <row r="768" spans="1:9" ht="18" customHeight="1" x14ac:dyDescent="0.2">
      <c r="A768" s="59">
        <v>45170</v>
      </c>
      <c r="B768" s="60"/>
      <c r="C768" s="60"/>
      <c r="D768" s="60"/>
      <c r="E768" s="61">
        <f>+(45+43)/2</f>
        <v>44</v>
      </c>
      <c r="F768" s="61">
        <f>+(20+18.6+18+16.74)/4</f>
        <v>18.335000000000001</v>
      </c>
      <c r="G768" s="61">
        <f>+(47+46)/2</f>
        <v>46.5</v>
      </c>
      <c r="H768" s="61">
        <f>+E768/356.5</f>
        <v>0.12342215988779803</v>
      </c>
      <c r="I768" s="62"/>
    </row>
    <row r="769" spans="1:9" ht="18" customHeight="1" x14ac:dyDescent="0.2">
      <c r="A769" s="59">
        <v>45177</v>
      </c>
      <c r="B769" s="60"/>
      <c r="C769" s="60"/>
      <c r="D769" s="60"/>
      <c r="E769" s="61">
        <f t="shared" ref="E769:E770" si="82">+(45+43)/2</f>
        <v>44</v>
      </c>
      <c r="F769" s="61">
        <f t="shared" ref="F769:F770" si="83">+(20+18.6+18+16.74)/4</f>
        <v>18.335000000000001</v>
      </c>
      <c r="G769" s="61">
        <f t="shared" ref="G769:G770" si="84">+(47+46)/2</f>
        <v>46.5</v>
      </c>
      <c r="H769" s="61">
        <f t="shared" ref="H769:H770" si="85">+E769/356.5</f>
        <v>0.12342215988779803</v>
      </c>
      <c r="I769" s="62"/>
    </row>
    <row r="770" spans="1:9" ht="18" customHeight="1" x14ac:dyDescent="0.2">
      <c r="A770" s="59">
        <v>45184</v>
      </c>
      <c r="B770" s="60"/>
      <c r="C770" s="60"/>
      <c r="D770" s="60"/>
      <c r="E770" s="61">
        <f t="shared" si="82"/>
        <v>44</v>
      </c>
      <c r="F770" s="61">
        <f t="shared" si="83"/>
        <v>18.335000000000001</v>
      </c>
      <c r="G770" s="61">
        <f t="shared" si="84"/>
        <v>46.5</v>
      </c>
      <c r="H770" s="61">
        <f t="shared" si="85"/>
        <v>0.12342215988779803</v>
      </c>
      <c r="I770" s="62"/>
    </row>
    <row r="771" spans="1:9" ht="18" customHeight="1" x14ac:dyDescent="0.2">
      <c r="A771" s="59">
        <v>45191</v>
      </c>
      <c r="B771" s="60"/>
      <c r="C771" s="60"/>
      <c r="D771" s="60"/>
      <c r="E771" s="61">
        <f>+(50+48)/2</f>
        <v>49</v>
      </c>
      <c r="F771" s="61">
        <f>+(25+23.5+23+21.39)/4</f>
        <v>23.2225</v>
      </c>
      <c r="G771" s="61">
        <f>+(52+51)/2</f>
        <v>51.5</v>
      </c>
      <c r="H771" s="61">
        <f t="shared" ref="H771" si="86">+E771/356.5</f>
        <v>0.13744740532959326</v>
      </c>
      <c r="I771" s="62"/>
    </row>
    <row r="772" spans="1:9" ht="18" customHeight="1" x14ac:dyDescent="0.2">
      <c r="A772" s="59">
        <v>45198</v>
      </c>
      <c r="B772" s="60"/>
      <c r="C772" s="60"/>
      <c r="D772" s="60"/>
      <c r="E772" s="61">
        <f>+(50+48)/2</f>
        <v>49</v>
      </c>
      <c r="F772" s="61">
        <f>+(25+23.5+23+21.39)/4</f>
        <v>23.2225</v>
      </c>
      <c r="G772" s="61">
        <f>+(52+51)/2</f>
        <v>51.5</v>
      </c>
      <c r="H772" s="61">
        <f t="shared" ref="H772" si="87">+E772/356.5</f>
        <v>0.13744740532959326</v>
      </c>
      <c r="I772" s="62"/>
    </row>
    <row r="773" spans="1:9" ht="18" customHeight="1" x14ac:dyDescent="0.2">
      <c r="A773" s="59">
        <v>45205</v>
      </c>
      <c r="B773" s="60"/>
      <c r="C773" s="60"/>
      <c r="D773" s="60"/>
      <c r="E773" s="61">
        <f>+(50+48)/2</f>
        <v>49</v>
      </c>
      <c r="F773" s="61">
        <f>+(25+23.5+23+21.39)/4</f>
        <v>23.2225</v>
      </c>
      <c r="G773" s="61">
        <f>+(52+51)/2</f>
        <v>51.5</v>
      </c>
      <c r="H773" s="61">
        <f>+E773/356.5</f>
        <v>0.13744740532959326</v>
      </c>
      <c r="I773" s="62"/>
    </row>
    <row r="774" spans="1:9" ht="18" customHeight="1" x14ac:dyDescent="0.2">
      <c r="A774" s="59">
        <v>45211</v>
      </c>
      <c r="B774" s="60"/>
      <c r="C774" s="60"/>
      <c r="D774" s="60"/>
      <c r="E774" s="61" t="s">
        <v>255</v>
      </c>
      <c r="F774" s="61" t="s">
        <v>255</v>
      </c>
      <c r="G774" s="61" t="s">
        <v>255</v>
      </c>
      <c r="H774" s="61" t="e">
        <f t="shared" ref="H774" si="88">+E774/356.5</f>
        <v>#VALUE!</v>
      </c>
      <c r="I774" s="62"/>
    </row>
    <row r="775" spans="1:9" ht="18" customHeight="1" x14ac:dyDescent="0.2">
      <c r="A775" s="59">
        <v>45219</v>
      </c>
      <c r="B775" s="60"/>
      <c r="C775" s="60"/>
      <c r="D775" s="60"/>
      <c r="E775" s="61">
        <f>+(80+78)/2</f>
        <v>79</v>
      </c>
      <c r="F775" s="61">
        <f>+(55+51.15+53+49.26)/4</f>
        <v>52.102499999999999</v>
      </c>
      <c r="G775" s="61">
        <f>+(82+81)/2</f>
        <v>81.5</v>
      </c>
      <c r="H775" s="61">
        <f>+E775/356.5</f>
        <v>0.22159887798036465</v>
      </c>
      <c r="I775" s="62"/>
    </row>
    <row r="776" spans="1:9" ht="18" customHeight="1" x14ac:dyDescent="0.2">
      <c r="A776" s="59">
        <v>45226</v>
      </c>
      <c r="B776" s="60"/>
      <c r="C776" s="60"/>
      <c r="D776" s="60"/>
      <c r="E776" s="61">
        <f>+(80+78)/2</f>
        <v>79</v>
      </c>
      <c r="F776" s="61">
        <f>+(55+51.15+53+49.26)/4</f>
        <v>52.102499999999999</v>
      </c>
      <c r="G776" s="61">
        <f>+(82+81)/2</f>
        <v>81.5</v>
      </c>
      <c r="H776" s="61">
        <f>+E776/356.5</f>
        <v>0.22159887798036465</v>
      </c>
      <c r="I776" s="62"/>
    </row>
    <row r="777" spans="1:9" ht="18" customHeight="1" x14ac:dyDescent="0.2">
      <c r="A777" s="59">
        <v>45233</v>
      </c>
      <c r="B777" s="60"/>
      <c r="C777" s="60"/>
      <c r="D777" s="60"/>
      <c r="E777" s="61">
        <f>+(80+78)/2</f>
        <v>79</v>
      </c>
      <c r="F777" s="61">
        <f>+(55+51.15+53+49.26)/4</f>
        <v>52.102499999999999</v>
      </c>
      <c r="G777" s="61">
        <f>+(82+81)/2</f>
        <v>81.5</v>
      </c>
      <c r="H777" s="61">
        <f>+E777/356.5</f>
        <v>0.22159887798036465</v>
      </c>
      <c r="I777" s="62"/>
    </row>
    <row r="778" spans="1:9" ht="18" customHeight="1" x14ac:dyDescent="0.2">
      <c r="A778" s="59">
        <v>45240</v>
      </c>
      <c r="B778" s="60"/>
      <c r="C778" s="60"/>
      <c r="D778" s="60"/>
      <c r="E778" s="61">
        <f>+(80+78)/2</f>
        <v>79</v>
      </c>
      <c r="F778" s="61">
        <f>+(55+51.15+53+49.26)/4</f>
        <v>52.102499999999999</v>
      </c>
      <c r="G778" s="61">
        <f>+(82+81)/2</f>
        <v>81.5</v>
      </c>
      <c r="H778" s="61">
        <f>+E778/356.5</f>
        <v>0.22159887798036465</v>
      </c>
      <c r="I778" s="62"/>
    </row>
    <row r="779" spans="1:9" ht="18" customHeight="1" x14ac:dyDescent="0.2">
      <c r="A779" s="59">
        <v>45247</v>
      </c>
      <c r="B779" s="60"/>
      <c r="C779" s="60"/>
      <c r="D779" s="60"/>
      <c r="E779" s="61">
        <f>+(80+78)/2</f>
        <v>79</v>
      </c>
      <c r="F779" s="61">
        <f>+(55+51.15+53+49.26)/4</f>
        <v>52.102499999999999</v>
      </c>
      <c r="G779" s="61">
        <f>+(82+81)/2</f>
        <v>81.5</v>
      </c>
      <c r="H779" s="61">
        <f>+E779/360</f>
        <v>0.21944444444444444</v>
      </c>
      <c r="I779" s="62"/>
    </row>
    <row r="780" spans="1:9" ht="18" customHeight="1" x14ac:dyDescent="0.2">
      <c r="A780" s="59">
        <v>45254</v>
      </c>
      <c r="B780" s="60"/>
      <c r="C780" s="60"/>
      <c r="D780" s="60"/>
      <c r="E780" s="61">
        <f t="shared" ref="E780:E782" si="89">+(80+78)/2</f>
        <v>79</v>
      </c>
      <c r="F780" s="61">
        <f t="shared" ref="F780:F782" si="90">+(55+51.15+53+49.26)/4</f>
        <v>52.102499999999999</v>
      </c>
      <c r="G780" s="61">
        <f t="shared" ref="G780:G782" si="91">+(82+81)/2</f>
        <v>81.5</v>
      </c>
      <c r="H780" s="61">
        <f>+E780/363.5</f>
        <v>0.2173314993122421</v>
      </c>
      <c r="I780" s="62"/>
    </row>
    <row r="781" spans="1:9" ht="18" customHeight="1" x14ac:dyDescent="0.2">
      <c r="A781" s="59">
        <v>45261</v>
      </c>
      <c r="B781" s="60"/>
      <c r="C781" s="60"/>
      <c r="D781" s="60"/>
      <c r="E781" s="61">
        <f t="shared" si="89"/>
        <v>79</v>
      </c>
      <c r="F781" s="61">
        <f t="shared" si="90"/>
        <v>52.102499999999999</v>
      </c>
      <c r="G781" s="61">
        <f t="shared" si="91"/>
        <v>81.5</v>
      </c>
      <c r="H781" s="61">
        <f>+E781/367</f>
        <v>0.21525885558583105</v>
      </c>
      <c r="I781" s="62"/>
    </row>
    <row r="782" spans="1:9" ht="18" customHeight="1" x14ac:dyDescent="0.2">
      <c r="A782" s="59">
        <v>45267</v>
      </c>
      <c r="B782" s="60"/>
      <c r="C782" s="60"/>
      <c r="D782" s="60"/>
      <c r="E782" s="61">
        <f t="shared" si="89"/>
        <v>79</v>
      </c>
      <c r="F782" s="61">
        <f t="shared" si="90"/>
        <v>52.102499999999999</v>
      </c>
      <c r="G782" s="61">
        <f t="shared" si="91"/>
        <v>81.5</v>
      </c>
      <c r="H782" s="61">
        <f>+E782/370</f>
        <v>0.21351351351351353</v>
      </c>
      <c r="I782" s="62"/>
    </row>
    <row r="783" spans="1:9" ht="18" customHeight="1" x14ac:dyDescent="0.2">
      <c r="A783" s="59">
        <v>45275</v>
      </c>
      <c r="B783" s="60"/>
      <c r="C783" s="60"/>
      <c r="D783" s="60"/>
      <c r="E783" s="61">
        <f>+(100+98)/2</f>
        <v>99</v>
      </c>
      <c r="F783" s="61">
        <f>+(75+69.75+73+67.89)/4</f>
        <v>71.41</v>
      </c>
      <c r="G783" s="61">
        <f>+(102+101)/2</f>
        <v>101.5</v>
      </c>
      <c r="H783" s="61">
        <f>+E783/800.62</f>
        <v>0.12365416801978467</v>
      </c>
      <c r="I783" s="62"/>
    </row>
    <row r="784" spans="1:9" ht="18" customHeight="1" x14ac:dyDescent="0.2">
      <c r="A784" s="59">
        <v>45282</v>
      </c>
      <c r="B784" s="60"/>
      <c r="C784" s="60"/>
      <c r="D784" s="60"/>
      <c r="E784" s="61">
        <f t="shared" ref="E784:E792" si="92">+(110+108)/2</f>
        <v>109</v>
      </c>
      <c r="F784" s="61">
        <f t="shared" ref="F784:F789" si="93">+(85+79.05+83+77.19)/4</f>
        <v>81.06</v>
      </c>
      <c r="G784" s="61">
        <f t="shared" ref="G784:G792" si="94">+(112+111)/2</f>
        <v>111.5</v>
      </c>
      <c r="H784" s="61">
        <f>+E784/114</f>
        <v>0.95614035087719296</v>
      </c>
      <c r="I784" s="62"/>
    </row>
    <row r="785" spans="1:9" ht="18" customHeight="1" x14ac:dyDescent="0.2">
      <c r="A785" s="59">
        <v>45289</v>
      </c>
      <c r="B785" s="60"/>
      <c r="C785" s="60"/>
      <c r="D785" s="60"/>
      <c r="E785" s="61">
        <f t="shared" si="92"/>
        <v>109</v>
      </c>
      <c r="F785" s="61">
        <f t="shared" si="93"/>
        <v>81.06</v>
      </c>
      <c r="G785" s="61">
        <f t="shared" si="94"/>
        <v>111.5</v>
      </c>
      <c r="H785" s="61">
        <f>+E785/807.75</f>
        <v>0.13494274218508201</v>
      </c>
      <c r="I785" s="62"/>
    </row>
    <row r="786" spans="1:9" ht="18" customHeight="1" x14ac:dyDescent="0.2">
      <c r="A786" s="63">
        <v>41644</v>
      </c>
      <c r="B786" s="64"/>
      <c r="C786" s="64"/>
      <c r="D786" s="64"/>
      <c r="E786" s="65">
        <f t="shared" si="92"/>
        <v>109</v>
      </c>
      <c r="F786" s="65">
        <f t="shared" si="93"/>
        <v>81.06</v>
      </c>
      <c r="G786" s="65">
        <f t="shared" si="94"/>
        <v>111.5</v>
      </c>
      <c r="H786" s="65">
        <f>+E786/811.5</f>
        <v>0.13431916204559458</v>
      </c>
      <c r="I786" s="66"/>
    </row>
    <row r="787" spans="1:9" ht="18" customHeight="1" x14ac:dyDescent="0.2">
      <c r="A787" s="63">
        <v>45303</v>
      </c>
      <c r="B787" s="64"/>
      <c r="C787" s="64"/>
      <c r="D787" s="64"/>
      <c r="E787" s="65">
        <f t="shared" si="92"/>
        <v>109</v>
      </c>
      <c r="F787" s="65">
        <f t="shared" si="93"/>
        <v>81.06</v>
      </c>
      <c r="G787" s="65">
        <f t="shared" si="94"/>
        <v>111.5</v>
      </c>
      <c r="H787" s="65">
        <f>+E787/815</f>
        <v>0.13374233128834356</v>
      </c>
      <c r="I787" s="66"/>
    </row>
    <row r="788" spans="1:9" ht="18" customHeight="1" x14ac:dyDescent="0.2">
      <c r="A788" s="63">
        <v>45310</v>
      </c>
      <c r="B788" s="64"/>
      <c r="C788" s="64"/>
      <c r="D788" s="64"/>
      <c r="E788" s="65">
        <f t="shared" si="92"/>
        <v>109</v>
      </c>
      <c r="F788" s="65">
        <f t="shared" si="93"/>
        <v>81.06</v>
      </c>
      <c r="G788" s="65">
        <f t="shared" si="94"/>
        <v>111.5</v>
      </c>
      <c r="H788" s="65">
        <f>+E788/818.75</f>
        <v>0.13312977099236642</v>
      </c>
      <c r="I788" s="66"/>
    </row>
    <row r="789" spans="1:9" ht="18" customHeight="1" x14ac:dyDescent="0.2">
      <c r="A789" s="63">
        <v>45317</v>
      </c>
      <c r="B789" s="64"/>
      <c r="C789" s="64"/>
      <c r="D789" s="64"/>
      <c r="E789" s="65">
        <f t="shared" si="92"/>
        <v>109</v>
      </c>
      <c r="F789" s="65">
        <f t="shared" si="93"/>
        <v>81.06</v>
      </c>
      <c r="G789" s="65">
        <f t="shared" si="94"/>
        <v>111.5</v>
      </c>
      <c r="H789" s="65">
        <f>+E789/820.25</f>
        <v>0.13288631514782079</v>
      </c>
      <c r="I789" s="66"/>
    </row>
    <row r="790" spans="1:9" ht="18" customHeight="1" x14ac:dyDescent="0.2">
      <c r="A790" s="63">
        <v>45324</v>
      </c>
      <c r="B790" s="64"/>
      <c r="C790" s="64"/>
      <c r="D790" s="64"/>
      <c r="E790" s="65">
        <f t="shared" si="92"/>
        <v>109</v>
      </c>
      <c r="F790" s="65">
        <f>+(85+79.02+83+79.19)/4</f>
        <v>81.552499999999995</v>
      </c>
      <c r="G790" s="65">
        <f t="shared" si="94"/>
        <v>111.5</v>
      </c>
      <c r="H790" s="65">
        <f>+E790/826</f>
        <v>0.13196125907990314</v>
      </c>
      <c r="I790" s="66"/>
    </row>
    <row r="791" spans="1:9" ht="18" customHeight="1" x14ac:dyDescent="0.2">
      <c r="A791" s="63">
        <v>45331</v>
      </c>
      <c r="B791" s="64"/>
      <c r="C791" s="64"/>
      <c r="D791" s="64"/>
      <c r="E791" s="65">
        <f t="shared" si="92"/>
        <v>109</v>
      </c>
      <c r="F791" s="65">
        <f t="shared" ref="F791:F793" si="95">+(85+79.02+83+79.19)/4</f>
        <v>81.552499999999995</v>
      </c>
      <c r="G791" s="65">
        <f t="shared" si="94"/>
        <v>111.5</v>
      </c>
      <c r="H791" s="65">
        <f>+E791/829.5</f>
        <v>0.13140446051838456</v>
      </c>
      <c r="I791" s="66"/>
    </row>
    <row r="792" spans="1:9" ht="18" customHeight="1" x14ac:dyDescent="0.2">
      <c r="A792" s="63">
        <v>45338</v>
      </c>
      <c r="B792" s="64"/>
      <c r="C792" s="64"/>
      <c r="D792" s="64"/>
      <c r="E792" s="65">
        <f t="shared" si="92"/>
        <v>109</v>
      </c>
      <c r="F792" s="65">
        <f t="shared" si="95"/>
        <v>81.552499999999995</v>
      </c>
      <c r="G792" s="65">
        <f t="shared" si="94"/>
        <v>111.5</v>
      </c>
      <c r="H792" s="65">
        <f>+E792/833.5</f>
        <v>0.13077384523095381</v>
      </c>
      <c r="I792" s="66"/>
    </row>
    <row r="793" spans="1:9" ht="18" customHeight="1" x14ac:dyDescent="0.2">
      <c r="A793" s="63">
        <v>45345</v>
      </c>
      <c r="B793" s="64"/>
      <c r="C793" s="64"/>
      <c r="D793" s="64"/>
      <c r="E793" s="65">
        <f>+(130+128)/2</f>
        <v>129</v>
      </c>
      <c r="F793" s="65">
        <f t="shared" si="95"/>
        <v>81.552499999999995</v>
      </c>
      <c r="G793" s="65">
        <f>+(132+131)/2</f>
        <v>131.5</v>
      </c>
      <c r="H793" s="65">
        <f>+E793/837</f>
        <v>0.15412186379928317</v>
      </c>
      <c r="I793" s="66"/>
    </row>
    <row r="794" spans="1:9" ht="18" customHeight="1" x14ac:dyDescent="0.2">
      <c r="A794" s="63">
        <v>45352</v>
      </c>
      <c r="B794" s="64"/>
      <c r="C794" s="64"/>
      <c r="D794" s="64"/>
      <c r="E794" s="65">
        <f t="shared" ref="E794:E801" si="96">+(160+158)/2</f>
        <v>159</v>
      </c>
      <c r="F794" s="65">
        <f t="shared" ref="F794:F801" si="97">+(100+93+98+91.14)/4</f>
        <v>95.534999999999997</v>
      </c>
      <c r="G794" s="65">
        <f t="shared" ref="G794:G816" si="98">+(162+161)/2</f>
        <v>161.5</v>
      </c>
      <c r="H794" s="65">
        <f>+E794/841</f>
        <v>0.18906064209274673</v>
      </c>
      <c r="I794" s="66"/>
    </row>
    <row r="795" spans="1:9" ht="18" customHeight="1" x14ac:dyDescent="0.2">
      <c r="A795" s="63">
        <v>45359</v>
      </c>
      <c r="B795" s="64"/>
      <c r="C795" s="64"/>
      <c r="D795" s="64"/>
      <c r="E795" s="65">
        <f t="shared" si="96"/>
        <v>159</v>
      </c>
      <c r="F795" s="65">
        <f t="shared" si="97"/>
        <v>95.534999999999997</v>
      </c>
      <c r="G795" s="65">
        <f t="shared" si="98"/>
        <v>161.5</v>
      </c>
      <c r="H795" s="65">
        <f>+E795/845</f>
        <v>0.18816568047337279</v>
      </c>
      <c r="I795" s="66"/>
    </row>
    <row r="796" spans="1:9" ht="18" customHeight="1" x14ac:dyDescent="0.2">
      <c r="A796" s="63">
        <v>45366</v>
      </c>
      <c r="B796" s="64"/>
      <c r="C796" s="64"/>
      <c r="D796" s="64"/>
      <c r="E796" s="65">
        <f t="shared" si="96"/>
        <v>159</v>
      </c>
      <c r="F796" s="65">
        <f t="shared" si="97"/>
        <v>95.534999999999997</v>
      </c>
      <c r="G796" s="65">
        <f t="shared" si="98"/>
        <v>161.5</v>
      </c>
      <c r="H796" s="65">
        <f>+E796/845</f>
        <v>0.18816568047337279</v>
      </c>
      <c r="I796" s="66"/>
    </row>
    <row r="797" spans="1:9" ht="18" customHeight="1" x14ac:dyDescent="0.2">
      <c r="A797" s="63">
        <v>45373</v>
      </c>
      <c r="B797" s="64"/>
      <c r="C797" s="64"/>
      <c r="D797" s="64"/>
      <c r="E797" s="65">
        <f t="shared" si="96"/>
        <v>159</v>
      </c>
      <c r="F797" s="65">
        <f t="shared" si="97"/>
        <v>95.534999999999997</v>
      </c>
      <c r="G797" s="65">
        <f t="shared" si="98"/>
        <v>161.5</v>
      </c>
      <c r="H797" s="65">
        <f>+E797/852.5</f>
        <v>0.18651026392961878</v>
      </c>
      <c r="I797" s="66"/>
    </row>
    <row r="798" spans="1:9" ht="18" customHeight="1" x14ac:dyDescent="0.2">
      <c r="A798" s="63">
        <v>45378</v>
      </c>
      <c r="B798" s="64"/>
      <c r="C798" s="64"/>
      <c r="D798" s="64"/>
      <c r="E798" s="65">
        <f t="shared" si="96"/>
        <v>159</v>
      </c>
      <c r="F798" s="65">
        <f t="shared" si="97"/>
        <v>95.534999999999997</v>
      </c>
      <c r="G798" s="65">
        <f t="shared" si="98"/>
        <v>161.5</v>
      </c>
      <c r="H798" s="65">
        <f>+E798/855.5</f>
        <v>0.18585622443015781</v>
      </c>
      <c r="I798" s="66"/>
    </row>
    <row r="799" spans="1:9" ht="18" customHeight="1" x14ac:dyDescent="0.2">
      <c r="A799" s="63">
        <v>45387</v>
      </c>
      <c r="B799" s="64"/>
      <c r="C799" s="64"/>
      <c r="D799" s="64"/>
      <c r="E799" s="65">
        <f t="shared" si="96"/>
        <v>159</v>
      </c>
      <c r="F799" s="65">
        <f t="shared" si="97"/>
        <v>95.534999999999997</v>
      </c>
      <c r="G799" s="65">
        <f t="shared" si="98"/>
        <v>161.5</v>
      </c>
      <c r="H799" s="65">
        <f>+E799/860.5</f>
        <v>0.18477629285299244</v>
      </c>
      <c r="I799" s="66"/>
    </row>
    <row r="800" spans="1:9" ht="18" customHeight="1" x14ac:dyDescent="0.2">
      <c r="A800" s="63">
        <v>45394</v>
      </c>
      <c r="B800" s="64"/>
      <c r="C800" s="64"/>
      <c r="D800" s="64"/>
      <c r="E800" s="65">
        <f t="shared" si="96"/>
        <v>159</v>
      </c>
      <c r="F800" s="65">
        <f t="shared" si="97"/>
        <v>95.534999999999997</v>
      </c>
      <c r="G800" s="65">
        <f t="shared" si="98"/>
        <v>161.5</v>
      </c>
      <c r="H800" s="65">
        <f>+E800/864.5</f>
        <v>0.18392134181607867</v>
      </c>
      <c r="I800" s="66"/>
    </row>
    <row r="801" spans="1:9" ht="18" customHeight="1" x14ac:dyDescent="0.2">
      <c r="A801" s="63">
        <v>45401</v>
      </c>
      <c r="B801" s="64"/>
      <c r="C801" s="64"/>
      <c r="D801" s="64"/>
      <c r="E801" s="65">
        <f t="shared" si="96"/>
        <v>159</v>
      </c>
      <c r="F801" s="65">
        <f t="shared" si="97"/>
        <v>95.534999999999997</v>
      </c>
      <c r="G801" s="65">
        <f t="shared" si="98"/>
        <v>161.5</v>
      </c>
      <c r="H801" s="65">
        <f>+E801/868.5</f>
        <v>0.18307426597582038</v>
      </c>
      <c r="I801" s="66"/>
    </row>
    <row r="802" spans="1:9" ht="18" customHeight="1" x14ac:dyDescent="0.2">
      <c r="A802" s="63">
        <v>45408</v>
      </c>
      <c r="B802" s="64"/>
      <c r="C802" s="64"/>
      <c r="D802" s="64"/>
      <c r="E802" s="65">
        <f>+(155+153)/2</f>
        <v>154</v>
      </c>
      <c r="F802" s="65">
        <f>+(95+88.35+93+86.49)/4</f>
        <v>90.710000000000008</v>
      </c>
      <c r="G802" s="65">
        <f t="shared" si="98"/>
        <v>161.5</v>
      </c>
      <c r="H802" s="65">
        <f>+E802/873</f>
        <v>0.17640320733104239</v>
      </c>
      <c r="I802" s="66"/>
    </row>
    <row r="803" spans="1:9" ht="18" customHeight="1" x14ac:dyDescent="0.2">
      <c r="A803" s="63">
        <v>45418</v>
      </c>
      <c r="B803" s="64"/>
      <c r="C803" s="64"/>
      <c r="D803" s="64"/>
      <c r="E803" s="65">
        <f>+(155+153)/2</f>
        <v>154</v>
      </c>
      <c r="F803" s="65">
        <f>+(95+88.35+93+86.49)/4</f>
        <v>90.710000000000008</v>
      </c>
      <c r="G803" s="65">
        <f t="shared" si="98"/>
        <v>161.5</v>
      </c>
      <c r="H803" s="65">
        <f>+E803/873</f>
        <v>0.17640320733104239</v>
      </c>
      <c r="I803" s="66"/>
    </row>
    <row r="804" spans="1:9" ht="18" customHeight="1" x14ac:dyDescent="0.2">
      <c r="A804" s="63">
        <v>45422</v>
      </c>
      <c r="B804" s="64"/>
      <c r="C804" s="64"/>
      <c r="D804" s="64"/>
      <c r="E804" s="65">
        <f>+(150+148)/2</f>
        <v>149</v>
      </c>
      <c r="F804" s="65">
        <f>+(90+83.7+88+81.64)/4</f>
        <v>85.834999999999994</v>
      </c>
      <c r="G804" s="65">
        <f t="shared" si="98"/>
        <v>161.5</v>
      </c>
      <c r="H804" s="65">
        <f>+E804/881</f>
        <v>0.16912599318955732</v>
      </c>
      <c r="I804" s="66"/>
    </row>
    <row r="805" spans="1:9" ht="18" customHeight="1" x14ac:dyDescent="0.2">
      <c r="A805" s="63">
        <v>45429</v>
      </c>
      <c r="B805" s="64"/>
      <c r="C805" s="64"/>
      <c r="D805" s="64"/>
      <c r="E805" s="65">
        <f>+(150+158)/2</f>
        <v>154</v>
      </c>
      <c r="F805" s="65">
        <f>+(90+83.7+88+81.64)/4</f>
        <v>85.834999999999994</v>
      </c>
      <c r="G805" s="65">
        <f t="shared" si="98"/>
        <v>161.5</v>
      </c>
      <c r="H805" s="65">
        <f>+E805/885</f>
        <v>0.17401129943502824</v>
      </c>
      <c r="I805" s="66"/>
    </row>
    <row r="806" spans="1:9" ht="18" customHeight="1" x14ac:dyDescent="0.2">
      <c r="A806" s="63">
        <v>45436</v>
      </c>
      <c r="B806" s="64"/>
      <c r="C806" s="64"/>
      <c r="D806" s="64"/>
      <c r="E806" s="65">
        <f>+(150+158)/2</f>
        <v>154</v>
      </c>
      <c r="F806" s="65">
        <f>+(90+83.7+88+81.64)/4</f>
        <v>85.834999999999994</v>
      </c>
      <c r="G806" s="65">
        <f t="shared" si="98"/>
        <v>161.5</v>
      </c>
      <c r="H806" s="65">
        <f>+E806/889</f>
        <v>0.17322834645669291</v>
      </c>
      <c r="I806" s="66"/>
    </row>
    <row r="807" spans="1:9" ht="18" customHeight="1" x14ac:dyDescent="0.2">
      <c r="A807" s="63">
        <v>45443</v>
      </c>
      <c r="B807" s="64"/>
      <c r="C807" s="64"/>
      <c r="D807" s="64"/>
      <c r="E807" s="65">
        <f t="shared" ref="E807:E814" si="99">+(150+158)/2</f>
        <v>154</v>
      </c>
      <c r="F807" s="65">
        <f t="shared" ref="F807:F808" si="100">+(90+83.7+88+81.64)/4</f>
        <v>85.834999999999994</v>
      </c>
      <c r="G807" s="65">
        <f t="shared" si="98"/>
        <v>161.5</v>
      </c>
      <c r="H807" s="65">
        <f>+E807/893</f>
        <v>0.17245240761478164</v>
      </c>
      <c r="I807" s="66"/>
    </row>
    <row r="808" spans="1:9" ht="18" customHeight="1" x14ac:dyDescent="0.2">
      <c r="A808" s="63">
        <v>45450</v>
      </c>
      <c r="B808" s="64"/>
      <c r="C808" s="64"/>
      <c r="D808" s="64"/>
      <c r="E808" s="65">
        <f t="shared" si="99"/>
        <v>154</v>
      </c>
      <c r="F808" s="65">
        <f t="shared" si="100"/>
        <v>85.834999999999994</v>
      </c>
      <c r="G808" s="65">
        <f t="shared" si="98"/>
        <v>161.5</v>
      </c>
      <c r="H808" s="65">
        <f>+E808/898</f>
        <v>0.17149220489977729</v>
      </c>
      <c r="I808" s="66"/>
    </row>
    <row r="809" spans="1:9" ht="18" customHeight="1" x14ac:dyDescent="0.2">
      <c r="A809" s="63">
        <v>45457</v>
      </c>
      <c r="B809" s="64"/>
      <c r="C809" s="64"/>
      <c r="D809" s="64"/>
      <c r="E809" s="65">
        <f t="shared" si="99"/>
        <v>154</v>
      </c>
      <c r="F809" s="65">
        <f t="shared" ref="F809:F816" si="101">+(85+79.05+83+77.19)/4</f>
        <v>81.06</v>
      </c>
      <c r="G809" s="65">
        <f t="shared" si="98"/>
        <v>161.5</v>
      </c>
      <c r="H809" s="65">
        <f>+E809/901.5</f>
        <v>0.17082640044370492</v>
      </c>
      <c r="I809" s="66"/>
    </row>
    <row r="810" spans="1:9" ht="18" customHeight="1" x14ac:dyDescent="0.2">
      <c r="A810" s="63">
        <v>45462</v>
      </c>
      <c r="B810" s="64"/>
      <c r="C810" s="64"/>
      <c r="D810" s="64"/>
      <c r="E810" s="65">
        <f t="shared" si="99"/>
        <v>154</v>
      </c>
      <c r="F810" s="65">
        <f t="shared" si="101"/>
        <v>81.06</v>
      </c>
      <c r="G810" s="65">
        <f t="shared" si="98"/>
        <v>161.5</v>
      </c>
      <c r="H810" s="65">
        <f>+E810/904</f>
        <v>0.17035398230088494</v>
      </c>
      <c r="I810" s="66"/>
    </row>
    <row r="811" spans="1:9" ht="18" customHeight="1" x14ac:dyDescent="0.2">
      <c r="A811" s="63">
        <v>45471</v>
      </c>
      <c r="B811" s="64"/>
      <c r="C811" s="64"/>
      <c r="D811" s="64"/>
      <c r="E811" s="65">
        <f t="shared" si="99"/>
        <v>154</v>
      </c>
      <c r="F811" s="65">
        <f t="shared" si="101"/>
        <v>81.06</v>
      </c>
      <c r="G811" s="65">
        <f t="shared" si="98"/>
        <v>161.5</v>
      </c>
      <c r="H811" s="65">
        <f>+E811/909.5</f>
        <v>0.16932380428807037</v>
      </c>
      <c r="I811" s="66"/>
    </row>
    <row r="812" spans="1:9" ht="18" customHeight="1" x14ac:dyDescent="0.2">
      <c r="A812" s="63">
        <v>45478</v>
      </c>
      <c r="B812" s="64"/>
      <c r="C812" s="64"/>
      <c r="D812" s="64"/>
      <c r="E812" s="65">
        <f t="shared" si="99"/>
        <v>154</v>
      </c>
      <c r="F812" s="65">
        <f t="shared" si="101"/>
        <v>81.06</v>
      </c>
      <c r="G812" s="65">
        <f t="shared" si="98"/>
        <v>161.5</v>
      </c>
      <c r="H812" s="65">
        <f>+E812/914</f>
        <v>0.16849015317286653</v>
      </c>
      <c r="I812" s="66"/>
    </row>
    <row r="813" spans="1:9" ht="18" customHeight="1" x14ac:dyDescent="0.2">
      <c r="A813" s="63">
        <v>45485</v>
      </c>
      <c r="B813" s="64"/>
      <c r="C813" s="64"/>
      <c r="D813" s="64"/>
      <c r="E813" s="65">
        <f t="shared" si="99"/>
        <v>154</v>
      </c>
      <c r="F813" s="65">
        <f t="shared" si="101"/>
        <v>81.06</v>
      </c>
      <c r="G813" s="65">
        <f t="shared" si="98"/>
        <v>161.5</v>
      </c>
      <c r="H813" s="65">
        <f>+E813/918</f>
        <v>0.16775599128540306</v>
      </c>
      <c r="I813" s="66"/>
    </row>
    <row r="814" spans="1:9" ht="18" customHeight="1" x14ac:dyDescent="0.2">
      <c r="A814" s="63">
        <v>45492</v>
      </c>
      <c r="B814" s="64"/>
      <c r="C814" s="64"/>
      <c r="D814" s="64"/>
      <c r="E814" s="65">
        <f t="shared" si="99"/>
        <v>154</v>
      </c>
      <c r="F814" s="65">
        <f t="shared" si="101"/>
        <v>81.06</v>
      </c>
      <c r="G814" s="65">
        <f t="shared" si="98"/>
        <v>161.5</v>
      </c>
      <c r="H814" s="65">
        <f>+E814/922.5</f>
        <v>0.16693766937669377</v>
      </c>
      <c r="I814" s="66"/>
    </row>
    <row r="815" spans="1:9" ht="18" customHeight="1" x14ac:dyDescent="0.2">
      <c r="A815" s="63">
        <v>45499</v>
      </c>
      <c r="B815" s="64"/>
      <c r="C815" s="64"/>
      <c r="D815" s="64"/>
      <c r="E815" s="65">
        <f>+(150+148)/2</f>
        <v>149</v>
      </c>
      <c r="F815" s="65">
        <f t="shared" si="101"/>
        <v>81.06</v>
      </c>
      <c r="G815" s="65">
        <f t="shared" si="98"/>
        <v>161.5</v>
      </c>
      <c r="H815" s="65">
        <f>+E815/927.5</f>
        <v>0.16064690026954179</v>
      </c>
      <c r="I815" s="66"/>
    </row>
    <row r="816" spans="1:9" ht="18" customHeight="1" x14ac:dyDescent="0.2">
      <c r="A816" s="63">
        <v>45506</v>
      </c>
      <c r="B816" s="64"/>
      <c r="C816" s="64"/>
      <c r="D816" s="64"/>
      <c r="E816" s="65">
        <f>+(150+148)/2</f>
        <v>149</v>
      </c>
      <c r="F816" s="65">
        <f t="shared" si="101"/>
        <v>81.06</v>
      </c>
      <c r="G816" s="65">
        <f t="shared" si="98"/>
        <v>161.5</v>
      </c>
      <c r="H816" s="65">
        <f>+E816/931.5</f>
        <v>0.15995705850778313</v>
      </c>
      <c r="I816" s="66"/>
    </row>
    <row r="817" ht="18" customHeight="1" x14ac:dyDescent="0.2"/>
    <row r="818" ht="18" customHeight="1" x14ac:dyDescent="0.2"/>
    <row r="819" ht="18" customHeight="1" x14ac:dyDescent="0.2"/>
    <row r="820" ht="18" customHeight="1" x14ac:dyDescent="0.2"/>
    <row r="821" ht="18" customHeight="1" x14ac:dyDescent="0.2"/>
    <row r="822" ht="18" customHeight="1" x14ac:dyDescent="0.2"/>
    <row r="823" ht="18" customHeight="1" x14ac:dyDescent="0.2"/>
    <row r="824" ht="18" customHeight="1" x14ac:dyDescent="0.2"/>
    <row r="825" ht="18" customHeight="1" x14ac:dyDescent="0.2"/>
    <row r="826" ht="18" customHeight="1" x14ac:dyDescent="0.2"/>
    <row r="827" ht="18" customHeight="1" x14ac:dyDescent="0.2"/>
    <row r="828" ht="18" customHeight="1" x14ac:dyDescent="0.2"/>
    <row r="829" ht="18" customHeight="1" x14ac:dyDescent="0.2"/>
    <row r="830" ht="18" customHeight="1" x14ac:dyDescent="0.2"/>
    <row r="831" ht="18" customHeight="1" x14ac:dyDescent="0.2"/>
    <row r="832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</sheetData>
  <mergeCells count="7">
    <mergeCell ref="A2:I2"/>
    <mergeCell ref="H5:I5"/>
    <mergeCell ref="B3:D3"/>
    <mergeCell ref="E3:G3"/>
    <mergeCell ref="H3:I3"/>
    <mergeCell ref="B4:D4"/>
    <mergeCell ref="E4:G4"/>
  </mergeCells>
  <phoneticPr fontId="5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Hoja1!_Toc495667258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Vivi</cp:lastModifiedBy>
  <cp:lastPrinted>2014-01-30T18:32:22Z</cp:lastPrinted>
  <dcterms:created xsi:type="dcterms:W3CDTF">2010-03-11T15:02:41Z</dcterms:created>
  <dcterms:modified xsi:type="dcterms:W3CDTF">2024-08-05T19:30:02Z</dcterms:modified>
</cp:coreProperties>
</file>